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jdrz\Desktop\gettingajob\"/>
    </mc:Choice>
  </mc:AlternateContent>
  <xr:revisionPtr revIDLastSave="0" documentId="13_ncr:1_{0FE8DE0C-B9E5-444C-B7D2-4FBF65335D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ecutive Summary" sheetId="1" r:id="rId1"/>
    <sheet name="Assumptions" sheetId="2" r:id="rId2"/>
    <sheet name="Profitability Model" sheetId="3" r:id="rId3"/>
    <sheet name="Depreciation Schedule" sheetId="4" r:id="rId4"/>
    <sheet name="DCF &amp; Returns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5" l="1"/>
  <c r="F8" i="5"/>
  <c r="E8" i="5"/>
  <c r="D8" i="5"/>
  <c r="C8" i="5"/>
  <c r="B8" i="5"/>
  <c r="G6" i="5"/>
  <c r="B5" i="5"/>
  <c r="A6" i="1" s="1"/>
  <c r="B4" i="5"/>
  <c r="G6" i="4"/>
  <c r="G11" i="3" s="1"/>
  <c r="G3" i="5" s="1"/>
  <c r="F6" i="4"/>
  <c r="F11" i="3" s="1"/>
  <c r="F3" i="5" s="1"/>
  <c r="E6" i="4"/>
  <c r="E11" i="3" s="1"/>
  <c r="E3" i="5" s="1"/>
  <c r="D6" i="4"/>
  <c r="D11" i="3" s="1"/>
  <c r="D3" i="5" s="1"/>
  <c r="C6" i="4"/>
  <c r="C11" i="3" s="1"/>
  <c r="C3" i="5" s="1"/>
  <c r="B6" i="4"/>
  <c r="E7" i="4" s="1"/>
  <c r="G5" i="4"/>
  <c r="F5" i="4"/>
  <c r="E5" i="4"/>
  <c r="D5" i="4"/>
  <c r="C5" i="4"/>
  <c r="B5" i="4"/>
  <c r="G4" i="4"/>
  <c r="F4" i="4"/>
  <c r="E4" i="4"/>
  <c r="D4" i="4"/>
  <c r="C4" i="4"/>
  <c r="B4" i="4"/>
  <c r="B3" i="4"/>
  <c r="G13" i="3"/>
  <c r="F13" i="3"/>
  <c r="E13" i="3"/>
  <c r="D13" i="3"/>
  <c r="C13" i="3"/>
  <c r="G8" i="3"/>
  <c r="F8" i="3"/>
  <c r="E8" i="3"/>
  <c r="D8" i="3"/>
  <c r="C8" i="3"/>
  <c r="G7" i="3"/>
  <c r="F7" i="3"/>
  <c r="E7" i="3"/>
  <c r="D7" i="3"/>
  <c r="C7" i="3"/>
  <c r="G6" i="3"/>
  <c r="F6" i="3"/>
  <c r="E6" i="3"/>
  <c r="D6" i="3"/>
  <c r="C6" i="3"/>
  <c r="G2" i="3"/>
  <c r="F2" i="3"/>
  <c r="E2" i="3"/>
  <c r="E3" i="3" s="1"/>
  <c r="D2" i="3"/>
  <c r="D3" i="3" s="1"/>
  <c r="D4" i="3" s="1"/>
  <c r="C2" i="3"/>
  <c r="C3" i="3" s="1"/>
  <c r="B8" i="4" l="1"/>
  <c r="C2" i="4" s="1"/>
  <c r="C8" i="4" s="1"/>
  <c r="D2" i="4" s="1"/>
  <c r="D8" i="4" s="1"/>
  <c r="E2" i="4" s="1"/>
  <c r="E8" i="4" s="1"/>
  <c r="F2" i="4" s="1"/>
  <c r="F8" i="4" s="1"/>
  <c r="G2" i="4" s="1"/>
  <c r="G8" i="4" s="1"/>
  <c r="E4" i="3"/>
  <c r="E9" i="3" s="1"/>
  <c r="F3" i="3"/>
  <c r="F4" i="3" s="1"/>
  <c r="C4" i="3"/>
  <c r="C5" i="3"/>
  <c r="C9" i="3"/>
  <c r="D9" i="3"/>
  <c r="D5" i="3"/>
  <c r="B7" i="4"/>
  <c r="C7" i="4"/>
  <c r="G3" i="3"/>
  <c r="G4" i="3" s="1"/>
  <c r="D7" i="4"/>
  <c r="F7" i="4"/>
  <c r="B7" i="5"/>
  <c r="G7" i="4"/>
  <c r="E5" i="3" l="1"/>
  <c r="F5" i="3"/>
  <c r="F9" i="3"/>
  <c r="G9" i="3"/>
  <c r="G5" i="3"/>
  <c r="B10" i="5"/>
  <c r="B9" i="5"/>
  <c r="C6" i="1"/>
  <c r="C10" i="3"/>
  <c r="C12" i="3"/>
  <c r="C14" i="3" s="1"/>
  <c r="F10" i="3"/>
  <c r="F12" i="3"/>
  <c r="F14" i="3" s="1"/>
  <c r="E10" i="3"/>
  <c r="E12" i="3"/>
  <c r="E14" i="3" s="1"/>
  <c r="D10" i="3"/>
  <c r="D12" i="3"/>
  <c r="D14" i="3" s="1"/>
  <c r="F15" i="3" l="1"/>
  <c r="F16" i="3" s="1"/>
  <c r="C15" i="3"/>
  <c r="C16" i="3" s="1"/>
  <c r="D15" i="3"/>
  <c r="D16" i="3" s="1"/>
  <c r="E15" i="3"/>
  <c r="E16" i="3" s="1"/>
  <c r="G10" i="3"/>
  <c r="G12" i="3"/>
  <c r="G14" i="3" s="1"/>
  <c r="D2" i="5" l="1"/>
  <c r="D4" i="5" s="1"/>
  <c r="D7" i="5" s="1"/>
  <c r="D9" i="5" s="1"/>
  <c r="D17" i="3"/>
  <c r="E17" i="3"/>
  <c r="E2" i="5"/>
  <c r="E4" i="5" s="1"/>
  <c r="E7" i="5" s="1"/>
  <c r="E9" i="5" s="1"/>
  <c r="C17" i="3"/>
  <c r="C2" i="5"/>
  <c r="C4" i="5" s="1"/>
  <c r="C7" i="5" s="1"/>
  <c r="F17" i="3"/>
  <c r="F2" i="5"/>
  <c r="F4" i="5" s="1"/>
  <c r="F7" i="5" s="1"/>
  <c r="F9" i="5" s="1"/>
  <c r="G15" i="3"/>
  <c r="G16" i="3" s="1"/>
  <c r="G17" i="3" l="1"/>
  <c r="G2" i="5"/>
  <c r="G4" i="5" s="1"/>
  <c r="G7" i="5" s="1"/>
  <c r="G9" i="5" s="1"/>
  <c r="C9" i="5"/>
  <c r="F10" i="5"/>
  <c r="E10" i="5"/>
  <c r="D10" i="5"/>
  <c r="B16" i="5" s="1"/>
  <c r="I6" i="1" s="1"/>
  <c r="C10" i="5"/>
  <c r="B14" i="5" l="1"/>
  <c r="B15" i="5"/>
  <c r="G6" i="1" s="1"/>
  <c r="G10" i="5"/>
  <c r="B17" i="5" l="1"/>
  <c r="E6" i="1"/>
</calcChain>
</file>

<file path=xl/sharedStrings.xml><?xml version="1.0" encoding="utf-8"?>
<sst xmlns="http://schemas.openxmlformats.org/spreadsheetml/2006/main" count="127" uniqueCount="91">
  <si>
    <t>Famous Cake Pans, Inc. — New Product Investment</t>
  </si>
  <si>
    <t>Five-Year Profitability and Capital Investment Analysis | Figures in $000</t>
  </si>
  <si>
    <t>Initial Investment</t>
  </si>
  <si>
    <t>Annual EBITDA</t>
  </si>
  <si>
    <t>Project NPV</t>
  </si>
  <si>
    <t>Project IRR</t>
  </si>
  <si>
    <t>Payback Period</t>
  </si>
  <si>
    <t>Investment Recommendation</t>
  </si>
  <si>
    <t>PROCEED: The base case creates positive economic value. The IRR exceeds the 8.5% required return, the NPV is positive, and cumulative cash flow recovers the initial investment during Year 3.</t>
  </si>
  <si>
    <t>Key Risks and Management Considerations</t>
  </si>
  <si>
    <t>• COGS is 70% of revenue, leaving a 30% gross margin and making supplier pricing a major value driver.</t>
  </si>
  <si>
    <t>• The three-year machine life creates lower depreciation and higher reported taxes in Years 4–5.</t>
  </si>
  <si>
    <t>• The model assumes constant annual revenue; demand validation should precede the capital commitment.</t>
  </si>
  <si>
    <t>• The downside scenario should be reviewed alongside the base case before approval.</t>
  </si>
  <si>
    <t>Formula note</t>
  </si>
  <si>
    <t>NPV = Year 0 cash flow + NPV(discount rate, Year 1 through Year 5 cash flows).</t>
  </si>
  <si>
    <t>Category</t>
  </si>
  <si>
    <t>Assumption</t>
  </si>
  <si>
    <t>Value</t>
  </si>
  <si>
    <t>Unit</t>
  </si>
  <si>
    <t>Source / Rationale</t>
  </si>
  <si>
    <t>Revenue</t>
  </si>
  <si>
    <t>Annual Revenue</t>
  </si>
  <si>
    <t>$000/year</t>
  </si>
  <si>
    <t>Management estimate; constant for five years</t>
  </si>
  <si>
    <t>Margin</t>
  </si>
  <si>
    <t>COGS % of Revenue</t>
  </si>
  <si>
    <t>% revenue</t>
  </si>
  <si>
    <t>Management estimate</t>
  </si>
  <si>
    <t>Operating Expense</t>
  </si>
  <si>
    <t>Salaries &amp; Labor</t>
  </si>
  <si>
    <t>Constant annual expense</t>
  </si>
  <si>
    <t>Rent Expense</t>
  </si>
  <si>
    <t>SG&amp;A</t>
  </si>
  <si>
    <t>Capital</t>
  </si>
  <si>
    <t>Initial CAPEX</t>
  </si>
  <si>
    <t>$000</t>
  </si>
  <si>
    <t>Machinery and equipment at Year 0</t>
  </si>
  <si>
    <t>Useful Life</t>
  </si>
  <si>
    <t>years</t>
  </si>
  <si>
    <t>Straight-line depreciation</t>
  </si>
  <si>
    <t>Salvage Value</t>
  </si>
  <si>
    <t>No residual value</t>
  </si>
  <si>
    <t>Financing</t>
  </si>
  <si>
    <t>Annual Interest Expense</t>
  </si>
  <si>
    <t>Provided assumption</t>
  </si>
  <si>
    <t>Tax</t>
  </si>
  <si>
    <t>Corporate Tax Rate</t>
  </si>
  <si>
    <t>%</t>
  </si>
  <si>
    <t>Valuation</t>
  </si>
  <si>
    <t>Discount Rate</t>
  </si>
  <si>
    <t>Required return</t>
  </si>
  <si>
    <t>Project Life</t>
  </si>
  <si>
    <t>Forecast horizon</t>
  </si>
  <si>
    <t>Income Statement</t>
  </si>
  <si>
    <t>Year 0</t>
  </si>
  <si>
    <t>Year 1</t>
  </si>
  <si>
    <t>Year 2</t>
  </si>
  <si>
    <t>Year 3</t>
  </si>
  <si>
    <t>Year 4</t>
  </si>
  <si>
    <t>Year 5</t>
  </si>
  <si>
    <t>COGS</t>
  </si>
  <si>
    <t>Gross Profit</t>
  </si>
  <si>
    <t>Gross Margin %</t>
  </si>
  <si>
    <t>EBITDA</t>
  </si>
  <si>
    <t>EBITDA Margin %</t>
  </si>
  <si>
    <t>Depreciation</t>
  </si>
  <si>
    <t>EBIT</t>
  </si>
  <si>
    <t>Interest Expense</t>
  </si>
  <si>
    <t>Earnings Before Tax</t>
  </si>
  <si>
    <t>Income Tax</t>
  </si>
  <si>
    <t>Net Income</t>
  </si>
  <si>
    <t>Net Margin %</t>
  </si>
  <si>
    <t>Depreciation Schedule</t>
  </si>
  <si>
    <t>Beginning Net Book Value</t>
  </si>
  <si>
    <t>Capital Expenditures</t>
  </si>
  <si>
    <t>Depreciable Basis</t>
  </si>
  <si>
    <t>Annual Depreciation</t>
  </si>
  <si>
    <t>Accumulated Depreciation</t>
  </si>
  <si>
    <t>Ending Net Book Value</t>
  </si>
  <si>
    <t>Cash Flow and Returns</t>
  </si>
  <si>
    <t>Add Back: Depreciation</t>
  </si>
  <si>
    <t>Operating Cash Flow</t>
  </si>
  <si>
    <t>Project Cash Flow</t>
  </si>
  <si>
    <t>Discount Factor</t>
  </si>
  <si>
    <t>Discounted Cash Flow</t>
  </si>
  <si>
    <t>Cumulative Cash Flow</t>
  </si>
  <si>
    <t>Investment Returns</t>
  </si>
  <si>
    <t>NPV</t>
  </si>
  <si>
    <t>IRR</t>
  </si>
  <si>
    <t>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</si>
</sst>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.0;[Red]\(\$#,##0.0\);\-"/>
    <numFmt numFmtId="165" formatCode="0.0%"/>
    <numFmt numFmtId="166" formatCode="0.0\ &quot;years&quot;"/>
  </numFmts>
  <fonts count="8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</font>
    <font>
      <i/>
      <sz val="11"/>
      <color rgb="FF17365D"/>
      <name val="Calibri"/>
      <family val="2"/>
    </font>
    <font>
      <b/>
      <sz val="11"/>
      <color rgb="FFFFFFFF"/>
      <name val="Calibri"/>
      <family val="2"/>
    </font>
    <font>
      <b/>
      <sz val="17"/>
      <color rgb="FF17365D"/>
      <name val="Calibri"/>
      <family val="2"/>
    </font>
    <font>
      <b/>
      <sz val="14"/>
      <color rgb="FF17365D"/>
      <name val="Calibri"/>
      <family val="2"/>
    </font>
    <font>
      <b/>
      <sz val="11"/>
      <color rgb="FF17365D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5B9BD5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/>
    </xf>
    <xf numFmtId="164" fontId="0" fillId="5" borderId="0" xfId="0" applyNumberFormat="1" applyFill="1"/>
    <xf numFmtId="165" fontId="0" fillId="5" borderId="0" xfId="0" applyNumberFormat="1" applyFill="1"/>
    <xf numFmtId="164" fontId="0" fillId="0" borderId="0" xfId="0" applyNumberFormat="1"/>
    <xf numFmtId="0" fontId="7" fillId="6" borderId="0" xfId="0" applyFont="1" applyFill="1"/>
    <xf numFmtId="164" fontId="7" fillId="6" borderId="0" xfId="0" applyNumberFormat="1" applyFont="1" applyFill="1"/>
    <xf numFmtId="165" fontId="0" fillId="0" borderId="0" xfId="0" applyNumberFormat="1"/>
    <xf numFmtId="166" fontId="0" fillId="0" borderId="0" xfId="0" applyNumberFormat="1"/>
    <xf numFmtId="0" fontId="7" fillId="4" borderId="0" xfId="0" applyFont="1" applyFill="1"/>
    <xf numFmtId="0" fontId="1" fillId="2" borderId="0" xfId="0" applyFont="1" applyFill="1"/>
    <xf numFmtId="0" fontId="0" fillId="0" borderId="0" xfId="0"/>
    <xf numFmtId="164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0" fillId="4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Annual Project Cash Flow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cat>
            <c:strRef>
              <c:f>'DCF &amp; Returns'!$B$1:$G$1</c:f>
              <c:strCache>
                <c:ptCount val="6"/>
                <c:pt idx="0">
                  <c:v>Year 0</c:v>
                </c:pt>
                <c:pt idx="1">
                  <c:v>Year 1</c:v>
                </c:pt>
                <c:pt idx="2">
                  <c:v>Year 2</c:v>
                </c:pt>
                <c:pt idx="3">
                  <c:v>Year 3</c:v>
                </c:pt>
                <c:pt idx="4">
                  <c:v>Year 4</c:v>
                </c:pt>
                <c:pt idx="5">
                  <c:v>Year 5</c:v>
                </c:pt>
              </c:strCache>
            </c:strRef>
          </c:cat>
          <c:val>
            <c:numRef>
              <c:f>'DCF &amp; Returns'!$B$7:$G$7</c:f>
              <c:numCache>
                <c:formatCode>\$#,##0.0;[Red]\(\$#,##0.0\);\-</c:formatCode>
                <c:ptCount val="6"/>
                <c:pt idx="0">
                  <c:v>-450</c:v>
                </c:pt>
                <c:pt idx="1">
                  <c:v>175.2</c:v>
                </c:pt>
                <c:pt idx="2">
                  <c:v>175.2</c:v>
                </c:pt>
                <c:pt idx="3">
                  <c:v>175.2</c:v>
                </c:pt>
                <c:pt idx="4">
                  <c:v>115.19999999999999</c:v>
                </c:pt>
                <c:pt idx="5">
                  <c:v>115.19999999999999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B-415B-9B76-65C8D5686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Project Year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$000</a:t>
                </a:r>
              </a:p>
            </c:rich>
          </c:tx>
          <c:overlay val="1"/>
        </c:title>
        <c:numFmt formatCode="\$#,##0.0;[Red]\(\$#,##0.0\);\-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648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Assumptions" displayName="tblAssumptions" ref="A1:E13">
  <autoFilter ref="A1:E13" xr:uid="{00000000-0009-0000-0100-000001000000}"/>
  <tableColumns count="5">
    <tableColumn id="1" xr3:uid="{00000000-0010-0000-0000-000001000000}" name="Category"/>
    <tableColumn id="2" xr3:uid="{00000000-0010-0000-0000-000002000000}" name="Assumption"/>
    <tableColumn id="3" xr3:uid="{00000000-0010-0000-0000-000003000000}" name="Value"/>
    <tableColumn id="4" xr3:uid="{00000000-0010-0000-0000-000004000000}" name="Unit"/>
    <tableColumn id="5" xr3:uid="{00000000-0010-0000-0000-000005000000}" name="Source / Ration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B9BD5"/>
  </sheetPr>
  <dimension ref="A1:J20"/>
  <sheetViews>
    <sheetView showGridLines="0" tabSelected="1" workbookViewId="0">
      <selection sqref="A1:J2"/>
    </sheetView>
  </sheetViews>
  <sheetFormatPr defaultRowHeight="15" x14ac:dyDescent="0.25"/>
  <cols>
    <col min="1" max="10" width="14" customWidth="1"/>
  </cols>
  <sheetData>
    <row r="1" spans="1:10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17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5" spans="1:10" x14ac:dyDescent="0.25">
      <c r="A5" s="18" t="s">
        <v>2</v>
      </c>
      <c r="B5" s="13"/>
      <c r="C5" s="18" t="s">
        <v>3</v>
      </c>
      <c r="D5" s="13"/>
      <c r="E5" s="18" t="s">
        <v>4</v>
      </c>
      <c r="F5" s="13"/>
      <c r="G5" s="18" t="s">
        <v>5</v>
      </c>
      <c r="H5" s="13"/>
      <c r="I5" s="18" t="s">
        <v>6</v>
      </c>
      <c r="J5" s="13"/>
    </row>
    <row r="6" spans="1:10" x14ac:dyDescent="0.25">
      <c r="A6" s="14">
        <f>-'DCF &amp; Returns'!B5</f>
        <v>450</v>
      </c>
      <c r="B6" s="13"/>
      <c r="C6" s="14">
        <f>'Profitability Model'!C9</f>
        <v>195</v>
      </c>
      <c r="D6" s="13"/>
      <c r="E6" s="14">
        <f>'DCF &amp; Returns'!B14</f>
        <v>157.20330978033405</v>
      </c>
      <c r="F6" s="13"/>
      <c r="G6" s="16">
        <f>'DCF &amp; Returns'!B15</f>
        <v>0.22272855525387247</v>
      </c>
      <c r="H6" s="13"/>
      <c r="I6" s="15">
        <f>'DCF &amp; Returns'!B16</f>
        <v>2.5684931506849318</v>
      </c>
      <c r="J6" s="13"/>
    </row>
    <row r="7" spans="1:10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</row>
    <row r="9" spans="1:10" ht="18.75" customHeight="1" x14ac:dyDescent="0.3">
      <c r="A9" s="1" t="s">
        <v>7</v>
      </c>
    </row>
    <row r="10" spans="1:10" x14ac:dyDescent="0.25">
      <c r="A10" s="19" t="s">
        <v>8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3" spans="1:10" ht="18.75" customHeight="1" x14ac:dyDescent="0.3">
      <c r="A13" s="1" t="s">
        <v>9</v>
      </c>
    </row>
    <row r="14" spans="1:10" x14ac:dyDescent="0.25">
      <c r="A14" s="13" t="s">
        <v>10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25">
      <c r="A15" s="13" t="s">
        <v>11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25">
      <c r="A16" s="13" t="s">
        <v>12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5">
      <c r="A17" s="13" t="s">
        <v>13</v>
      </c>
      <c r="B17" s="13"/>
      <c r="C17" s="13"/>
      <c r="D17" s="13"/>
      <c r="E17" s="13"/>
      <c r="F17" s="13"/>
      <c r="G17" s="13"/>
      <c r="H17" s="13"/>
      <c r="I17" s="13"/>
      <c r="J17" s="13"/>
    </row>
    <row r="20" spans="1:10" x14ac:dyDescent="0.25">
      <c r="A20" s="2" t="s">
        <v>14</v>
      </c>
      <c r="B20" s="13" t="s">
        <v>15</v>
      </c>
      <c r="C20" s="13"/>
      <c r="D20" s="13"/>
      <c r="E20" s="13"/>
      <c r="F20" s="13"/>
      <c r="G20" s="13"/>
      <c r="H20" s="13"/>
      <c r="I20" s="13"/>
      <c r="J20" s="13"/>
    </row>
  </sheetData>
  <mergeCells count="18">
    <mergeCell ref="A16:J16"/>
    <mergeCell ref="A10:J11"/>
    <mergeCell ref="A1:J2"/>
    <mergeCell ref="B20:J20"/>
    <mergeCell ref="A14:J14"/>
    <mergeCell ref="C6:D7"/>
    <mergeCell ref="E6:F7"/>
    <mergeCell ref="A17:J17"/>
    <mergeCell ref="I6:J7"/>
    <mergeCell ref="G6:H7"/>
    <mergeCell ref="A3:J3"/>
    <mergeCell ref="C5:D5"/>
    <mergeCell ref="A6:B7"/>
    <mergeCell ref="A5:B5"/>
    <mergeCell ref="A15:J15"/>
    <mergeCell ref="I5:J5"/>
    <mergeCell ref="E5:F5"/>
    <mergeCell ref="G5:H5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B9BD5"/>
  </sheetPr>
  <dimension ref="A1:E13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" customWidth="1"/>
    <col min="2" max="2" width="30" customWidth="1"/>
    <col min="3" max="3" width="16" customWidth="1"/>
    <col min="4" max="4" width="18" customWidth="1"/>
    <col min="5" max="5" width="55" customWidth="1"/>
  </cols>
  <sheetData>
    <row r="1" spans="1:5" x14ac:dyDescent="0.25">
      <c r="A1" s="3" t="s">
        <v>16</v>
      </c>
      <c r="B1" s="3" t="s">
        <v>17</v>
      </c>
      <c r="C1" s="3" t="s">
        <v>18</v>
      </c>
      <c r="D1" s="3" t="s">
        <v>19</v>
      </c>
      <c r="E1" s="3" t="s">
        <v>20</v>
      </c>
    </row>
    <row r="2" spans="1:5" x14ac:dyDescent="0.25">
      <c r="A2" t="s">
        <v>21</v>
      </c>
      <c r="B2" t="s">
        <v>22</v>
      </c>
      <c r="C2" s="4">
        <v>750</v>
      </c>
      <c r="D2" t="s">
        <v>23</v>
      </c>
      <c r="E2" t="s">
        <v>24</v>
      </c>
    </row>
    <row r="3" spans="1:5" x14ac:dyDescent="0.25">
      <c r="A3" t="s">
        <v>25</v>
      </c>
      <c r="B3" t="s">
        <v>26</v>
      </c>
      <c r="C3" s="5">
        <v>0.7</v>
      </c>
      <c r="D3" t="s">
        <v>27</v>
      </c>
      <c r="E3" t="s">
        <v>28</v>
      </c>
    </row>
    <row r="4" spans="1:5" x14ac:dyDescent="0.25">
      <c r="A4" t="s">
        <v>29</v>
      </c>
      <c r="B4" t="s">
        <v>30</v>
      </c>
      <c r="C4" s="4">
        <v>15</v>
      </c>
      <c r="D4" t="s">
        <v>23</v>
      </c>
      <c r="E4" t="s">
        <v>31</v>
      </c>
    </row>
    <row r="5" spans="1:5" x14ac:dyDescent="0.25">
      <c r="A5" t="s">
        <v>29</v>
      </c>
      <c r="B5" t="s">
        <v>32</v>
      </c>
      <c r="C5" s="4">
        <v>10</v>
      </c>
      <c r="D5" t="s">
        <v>23</v>
      </c>
      <c r="E5" t="s">
        <v>31</v>
      </c>
    </row>
    <row r="6" spans="1:5" x14ac:dyDescent="0.25">
      <c r="A6" t="s">
        <v>29</v>
      </c>
      <c r="B6" t="s">
        <v>33</v>
      </c>
      <c r="C6" s="4">
        <v>5</v>
      </c>
      <c r="D6" t="s">
        <v>23</v>
      </c>
      <c r="E6" t="s">
        <v>31</v>
      </c>
    </row>
    <row r="7" spans="1:5" x14ac:dyDescent="0.25">
      <c r="A7" t="s">
        <v>34</v>
      </c>
      <c r="B7" t="s">
        <v>35</v>
      </c>
      <c r="C7" s="4">
        <v>450</v>
      </c>
      <c r="D7" t="s">
        <v>36</v>
      </c>
      <c r="E7" t="s">
        <v>37</v>
      </c>
    </row>
    <row r="8" spans="1:5" x14ac:dyDescent="0.25">
      <c r="A8" t="s">
        <v>34</v>
      </c>
      <c r="B8" t="s">
        <v>38</v>
      </c>
      <c r="C8" s="4">
        <v>3</v>
      </c>
      <c r="D8" t="s">
        <v>39</v>
      </c>
      <c r="E8" t="s">
        <v>40</v>
      </c>
    </row>
    <row r="9" spans="1:5" x14ac:dyDescent="0.25">
      <c r="A9" t="s">
        <v>34</v>
      </c>
      <c r="B9" t="s">
        <v>41</v>
      </c>
      <c r="C9" s="4">
        <v>0</v>
      </c>
      <c r="D9" t="s">
        <v>36</v>
      </c>
      <c r="E9" t="s">
        <v>42</v>
      </c>
    </row>
    <row r="10" spans="1:5" x14ac:dyDescent="0.25">
      <c r="A10" t="s">
        <v>43</v>
      </c>
      <c r="B10" t="s">
        <v>44</v>
      </c>
      <c r="C10" s="4">
        <v>3</v>
      </c>
      <c r="D10" t="s">
        <v>23</v>
      </c>
      <c r="E10" t="s">
        <v>45</v>
      </c>
    </row>
    <row r="11" spans="1:5" x14ac:dyDescent="0.25">
      <c r="A11" t="s">
        <v>46</v>
      </c>
      <c r="B11" t="s">
        <v>47</v>
      </c>
      <c r="C11" s="5">
        <v>0.4</v>
      </c>
      <c r="D11" t="s">
        <v>48</v>
      </c>
      <c r="E11" t="s">
        <v>45</v>
      </c>
    </row>
    <row r="12" spans="1:5" x14ac:dyDescent="0.25">
      <c r="A12" t="s">
        <v>49</v>
      </c>
      <c r="B12" t="s">
        <v>50</v>
      </c>
      <c r="C12" s="5">
        <v>8.5000000000000006E-2</v>
      </c>
      <c r="D12" t="s">
        <v>48</v>
      </c>
      <c r="E12" t="s">
        <v>51</v>
      </c>
    </row>
    <row r="13" spans="1:5" x14ac:dyDescent="0.25">
      <c r="A13" t="s">
        <v>49</v>
      </c>
      <c r="B13" t="s">
        <v>52</v>
      </c>
      <c r="C13" s="4">
        <v>5</v>
      </c>
      <c r="D13" t="s">
        <v>39</v>
      </c>
      <c r="E13" t="s">
        <v>53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9BD5"/>
  </sheetPr>
  <dimension ref="A1:G17"/>
  <sheetViews>
    <sheetView showGridLines="0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28" customWidth="1"/>
    <col min="2" max="7" width="14" customWidth="1"/>
  </cols>
  <sheetData>
    <row r="1" spans="1:7" x14ac:dyDescent="0.25">
      <c r="A1" s="3" t="s">
        <v>54</v>
      </c>
      <c r="B1" s="3" t="s">
        <v>55</v>
      </c>
      <c r="C1" s="3" t="s">
        <v>56</v>
      </c>
      <c r="D1" s="3" t="s">
        <v>57</v>
      </c>
      <c r="E1" s="3" t="s">
        <v>58</v>
      </c>
      <c r="F1" s="3" t="s">
        <v>59</v>
      </c>
      <c r="G1" s="3" t="s">
        <v>60</v>
      </c>
    </row>
    <row r="2" spans="1:7" x14ac:dyDescent="0.25">
      <c r="A2" t="s">
        <v>21</v>
      </c>
      <c r="B2" s="6">
        <v>0</v>
      </c>
      <c r="C2" s="6">
        <f>Assumptions!$C$2</f>
        <v>750</v>
      </c>
      <c r="D2" s="6">
        <f>Assumptions!$C$2</f>
        <v>750</v>
      </c>
      <c r="E2" s="6">
        <f>Assumptions!$C$2</f>
        <v>750</v>
      </c>
      <c r="F2" s="6">
        <f>Assumptions!$C$2</f>
        <v>750</v>
      </c>
      <c r="G2" s="6">
        <f>Assumptions!$C$2</f>
        <v>750</v>
      </c>
    </row>
    <row r="3" spans="1:7" x14ac:dyDescent="0.25">
      <c r="A3" t="s">
        <v>61</v>
      </c>
      <c r="B3" s="6">
        <v>0</v>
      </c>
      <c r="C3" s="6">
        <f>C2*Assumptions!$C$3</f>
        <v>525</v>
      </c>
      <c r="D3" s="6">
        <f>D2*Assumptions!$C$3</f>
        <v>525</v>
      </c>
      <c r="E3" s="6">
        <f>E2*Assumptions!$C$3</f>
        <v>525</v>
      </c>
      <c r="F3" s="6">
        <f>F2*Assumptions!$C$3</f>
        <v>525</v>
      </c>
      <c r="G3" s="6">
        <f>G2*Assumptions!$C$3</f>
        <v>525</v>
      </c>
    </row>
    <row r="4" spans="1:7" x14ac:dyDescent="0.25">
      <c r="A4" s="7" t="s">
        <v>62</v>
      </c>
      <c r="B4" s="8">
        <v>0</v>
      </c>
      <c r="C4" s="8">
        <f>C2-C3</f>
        <v>225</v>
      </c>
      <c r="D4" s="8">
        <f>D2-D3</f>
        <v>225</v>
      </c>
      <c r="E4" s="8">
        <f>E2-E3</f>
        <v>225</v>
      </c>
      <c r="F4" s="8">
        <f>F2-F3</f>
        <v>225</v>
      </c>
      <c r="G4" s="8">
        <f>G2-G3</f>
        <v>225</v>
      </c>
    </row>
    <row r="5" spans="1:7" x14ac:dyDescent="0.25">
      <c r="A5" t="s">
        <v>63</v>
      </c>
      <c r="B5" s="9">
        <v>0</v>
      </c>
      <c r="C5" s="9">
        <f>IFERROR(C4/C2,0)</f>
        <v>0.3</v>
      </c>
      <c r="D5" s="9">
        <f>IFERROR(D4/D2,0)</f>
        <v>0.3</v>
      </c>
      <c r="E5" s="9">
        <f>IFERROR(E4/E2,0)</f>
        <v>0.3</v>
      </c>
      <c r="F5" s="9">
        <f>IFERROR(F4/F2,0)</f>
        <v>0.3</v>
      </c>
      <c r="G5" s="9">
        <f>IFERROR(G4/G2,0)</f>
        <v>0.3</v>
      </c>
    </row>
    <row r="6" spans="1:7" x14ac:dyDescent="0.25">
      <c r="A6" t="s">
        <v>30</v>
      </c>
      <c r="B6" s="6">
        <v>0</v>
      </c>
      <c r="C6" s="6">
        <f>Assumptions!$C$4</f>
        <v>15</v>
      </c>
      <c r="D6" s="6">
        <f>Assumptions!$C$4</f>
        <v>15</v>
      </c>
      <c r="E6" s="6">
        <f>Assumptions!$C$4</f>
        <v>15</v>
      </c>
      <c r="F6" s="6">
        <f>Assumptions!$C$4</f>
        <v>15</v>
      </c>
      <c r="G6" s="6">
        <f>Assumptions!$C$4</f>
        <v>15</v>
      </c>
    </row>
    <row r="7" spans="1:7" x14ac:dyDescent="0.25">
      <c r="A7" t="s">
        <v>32</v>
      </c>
      <c r="B7" s="6">
        <v>0</v>
      </c>
      <c r="C7" s="6">
        <f>Assumptions!$C$5</f>
        <v>10</v>
      </c>
      <c r="D7" s="6">
        <f>Assumptions!$C$5</f>
        <v>10</v>
      </c>
      <c r="E7" s="6">
        <f>Assumptions!$C$5</f>
        <v>10</v>
      </c>
      <c r="F7" s="6">
        <f>Assumptions!$C$5</f>
        <v>10</v>
      </c>
      <c r="G7" s="6">
        <f>Assumptions!$C$5</f>
        <v>10</v>
      </c>
    </row>
    <row r="8" spans="1:7" x14ac:dyDescent="0.25">
      <c r="A8" t="s">
        <v>33</v>
      </c>
      <c r="B8" s="6">
        <v>0</v>
      </c>
      <c r="C8" s="6">
        <f>Assumptions!$C$6</f>
        <v>5</v>
      </c>
      <c r="D8" s="6">
        <f>Assumptions!$C$6</f>
        <v>5</v>
      </c>
      <c r="E8" s="6">
        <f>Assumptions!$C$6</f>
        <v>5</v>
      </c>
      <c r="F8" s="6">
        <f>Assumptions!$C$6</f>
        <v>5</v>
      </c>
      <c r="G8" s="6">
        <f>Assumptions!$C$6</f>
        <v>5</v>
      </c>
    </row>
    <row r="9" spans="1:7" x14ac:dyDescent="0.25">
      <c r="A9" s="7" t="s">
        <v>64</v>
      </c>
      <c r="B9" s="8">
        <v>0</v>
      </c>
      <c r="C9" s="8">
        <f>C4-SUM(C6:C8)</f>
        <v>195</v>
      </c>
      <c r="D9" s="8">
        <f>D4-SUM(D6:D8)</f>
        <v>195</v>
      </c>
      <c r="E9" s="8">
        <f>E4-SUM(E6:E8)</f>
        <v>195</v>
      </c>
      <c r="F9" s="8">
        <f>F4-SUM(F6:F8)</f>
        <v>195</v>
      </c>
      <c r="G9" s="8">
        <f>G4-SUM(G6:G8)</f>
        <v>195</v>
      </c>
    </row>
    <row r="10" spans="1:7" x14ac:dyDescent="0.25">
      <c r="A10" t="s">
        <v>65</v>
      </c>
      <c r="B10" s="9">
        <v>0</v>
      </c>
      <c r="C10" s="9">
        <f>IFERROR(C9/C2,0)</f>
        <v>0.26</v>
      </c>
      <c r="D10" s="9">
        <f>IFERROR(D9/D2,0)</f>
        <v>0.26</v>
      </c>
      <c r="E10" s="9">
        <f>IFERROR(E9/E2,0)</f>
        <v>0.26</v>
      </c>
      <c r="F10" s="9">
        <f>IFERROR(F9/F2,0)</f>
        <v>0.26</v>
      </c>
      <c r="G10" s="9">
        <f>IFERROR(G9/G2,0)</f>
        <v>0.26</v>
      </c>
    </row>
    <row r="11" spans="1:7" x14ac:dyDescent="0.25">
      <c r="A11" t="s">
        <v>66</v>
      </c>
      <c r="B11" s="6">
        <v>0</v>
      </c>
      <c r="C11" s="6">
        <f>'Depreciation Schedule'!C6</f>
        <v>150</v>
      </c>
      <c r="D11" s="6">
        <f>'Depreciation Schedule'!D6</f>
        <v>150</v>
      </c>
      <c r="E11" s="6">
        <f>'Depreciation Schedule'!E6</f>
        <v>150</v>
      </c>
      <c r="F11" s="6">
        <f>'Depreciation Schedule'!F6</f>
        <v>0</v>
      </c>
      <c r="G11" s="6">
        <f>'Depreciation Schedule'!G6</f>
        <v>0</v>
      </c>
    </row>
    <row r="12" spans="1:7" x14ac:dyDescent="0.25">
      <c r="A12" s="7" t="s">
        <v>67</v>
      </c>
      <c r="B12" s="8">
        <v>0</v>
      </c>
      <c r="C12" s="8">
        <f>C9-C11</f>
        <v>45</v>
      </c>
      <c r="D12" s="8">
        <f>D9-D11</f>
        <v>45</v>
      </c>
      <c r="E12" s="8">
        <f>E9-E11</f>
        <v>45</v>
      </c>
      <c r="F12" s="8">
        <f>F9-F11</f>
        <v>195</v>
      </c>
      <c r="G12" s="8">
        <f>G9-G11</f>
        <v>195</v>
      </c>
    </row>
    <row r="13" spans="1:7" x14ac:dyDescent="0.25">
      <c r="A13" t="s">
        <v>68</v>
      </c>
      <c r="B13" s="6">
        <v>0</v>
      </c>
      <c r="C13" s="6">
        <f>Assumptions!$C$10</f>
        <v>3</v>
      </c>
      <c r="D13" s="6">
        <f>Assumptions!$C$10</f>
        <v>3</v>
      </c>
      <c r="E13" s="6">
        <f>Assumptions!$C$10</f>
        <v>3</v>
      </c>
      <c r="F13" s="6">
        <f>Assumptions!$C$10</f>
        <v>3</v>
      </c>
      <c r="G13" s="6">
        <f>Assumptions!$C$10</f>
        <v>3</v>
      </c>
    </row>
    <row r="14" spans="1:7" x14ac:dyDescent="0.25">
      <c r="A14" t="s">
        <v>69</v>
      </c>
      <c r="B14" s="6">
        <v>0</v>
      </c>
      <c r="C14" s="6">
        <f>C12-C13</f>
        <v>42</v>
      </c>
      <c r="D14" s="6">
        <f>D12-D13</f>
        <v>42</v>
      </c>
      <c r="E14" s="6">
        <f>E12-E13</f>
        <v>42</v>
      </c>
      <c r="F14" s="6">
        <f>F12-F13</f>
        <v>192</v>
      </c>
      <c r="G14" s="6">
        <f>G12-G13</f>
        <v>192</v>
      </c>
    </row>
    <row r="15" spans="1:7" x14ac:dyDescent="0.25">
      <c r="A15" t="s">
        <v>70</v>
      </c>
      <c r="B15" s="6">
        <v>0</v>
      </c>
      <c r="C15" s="6">
        <f>C14*Assumptions!$C$11</f>
        <v>16.8</v>
      </c>
      <c r="D15" s="6">
        <f>D14*Assumptions!$C$11</f>
        <v>16.8</v>
      </c>
      <c r="E15" s="6">
        <f>E14*Assumptions!$C$11</f>
        <v>16.8</v>
      </c>
      <c r="F15" s="6">
        <f>F14*Assumptions!$C$11</f>
        <v>76.800000000000011</v>
      </c>
      <c r="G15" s="6">
        <f>G14*Assumptions!$C$11</f>
        <v>76.800000000000011</v>
      </c>
    </row>
    <row r="16" spans="1:7" x14ac:dyDescent="0.25">
      <c r="A16" s="7" t="s">
        <v>71</v>
      </c>
      <c r="B16" s="8">
        <v>0</v>
      </c>
      <c r="C16" s="8">
        <f>C14-C15</f>
        <v>25.2</v>
      </c>
      <c r="D16" s="8">
        <f>D14-D15</f>
        <v>25.2</v>
      </c>
      <c r="E16" s="8">
        <f>E14-E15</f>
        <v>25.2</v>
      </c>
      <c r="F16" s="8">
        <f>F14-F15</f>
        <v>115.19999999999999</v>
      </c>
      <c r="G16" s="8">
        <f>G14-G15</f>
        <v>115.19999999999999</v>
      </c>
    </row>
    <row r="17" spans="1:7" x14ac:dyDescent="0.25">
      <c r="A17" t="s">
        <v>72</v>
      </c>
      <c r="B17" s="9">
        <v>0</v>
      </c>
      <c r="C17" s="9">
        <f>IFERROR(C16/C2,0)</f>
        <v>3.3599999999999998E-2</v>
      </c>
      <c r="D17" s="9">
        <f>IFERROR(D16/D2,0)</f>
        <v>3.3599999999999998E-2</v>
      </c>
      <c r="E17" s="9">
        <f>IFERROR(E16/E2,0)</f>
        <v>3.3599999999999998E-2</v>
      </c>
      <c r="F17" s="9">
        <f>IFERROR(F16/F2,0)</f>
        <v>0.15359999999999999</v>
      </c>
      <c r="G17" s="9">
        <f>IFERROR(G16/G2,0)</f>
        <v>0.15359999999999999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B9BD5"/>
  </sheetPr>
  <dimension ref="A1:G8"/>
  <sheetViews>
    <sheetView showGridLines="0" workbookViewId="0"/>
  </sheetViews>
  <sheetFormatPr defaultRowHeight="15" x14ac:dyDescent="0.25"/>
  <cols>
    <col min="1" max="1" width="30" customWidth="1"/>
    <col min="2" max="7" width="14" customWidth="1"/>
  </cols>
  <sheetData>
    <row r="1" spans="1:7" x14ac:dyDescent="0.25">
      <c r="A1" s="3" t="s">
        <v>73</v>
      </c>
      <c r="B1" s="3" t="s">
        <v>55</v>
      </c>
      <c r="C1" s="3" t="s">
        <v>56</v>
      </c>
      <c r="D1" s="3" t="s">
        <v>57</v>
      </c>
      <c r="E1" s="3" t="s">
        <v>58</v>
      </c>
      <c r="F1" s="3" t="s">
        <v>59</v>
      </c>
      <c r="G1" s="3" t="s">
        <v>60</v>
      </c>
    </row>
    <row r="2" spans="1:7" x14ac:dyDescent="0.25">
      <c r="A2" t="s">
        <v>74</v>
      </c>
      <c r="B2" s="6">
        <v>0</v>
      </c>
      <c r="C2" s="6">
        <f>B8</f>
        <v>450</v>
      </c>
      <c r="D2" s="6">
        <f>C8</f>
        <v>300</v>
      </c>
      <c r="E2" s="6">
        <f>D8</f>
        <v>150</v>
      </c>
      <c r="F2" s="6">
        <f>E8</f>
        <v>0</v>
      </c>
      <c r="G2" s="6">
        <f>F8</f>
        <v>0</v>
      </c>
    </row>
    <row r="3" spans="1:7" x14ac:dyDescent="0.25">
      <c r="A3" t="s">
        <v>75</v>
      </c>
      <c r="B3" s="6">
        <f>Assumptions!$C$7</f>
        <v>450</v>
      </c>
      <c r="C3" s="6">
        <v>0</v>
      </c>
      <c r="D3" s="6">
        <v>0</v>
      </c>
      <c r="E3" s="6">
        <v>0</v>
      </c>
      <c r="F3" s="6">
        <v>0</v>
      </c>
      <c r="G3" s="6">
        <v>0</v>
      </c>
    </row>
    <row r="4" spans="1:7" x14ac:dyDescent="0.25">
      <c r="A4" t="s">
        <v>76</v>
      </c>
      <c r="B4" s="6">
        <f>Assumptions!$C$7-Assumptions!$C$9</f>
        <v>450</v>
      </c>
      <c r="C4" s="6">
        <f>Assumptions!$C$7-Assumptions!$C$9</f>
        <v>450</v>
      </c>
      <c r="D4" s="6">
        <f>Assumptions!$C$7-Assumptions!$C$9</f>
        <v>450</v>
      </c>
      <c r="E4" s="6">
        <f>Assumptions!$C$7-Assumptions!$C$9</f>
        <v>450</v>
      </c>
      <c r="F4" s="6">
        <f>Assumptions!$C$7-Assumptions!$C$9</f>
        <v>450</v>
      </c>
      <c r="G4" s="6">
        <f>Assumptions!$C$7-Assumptions!$C$9</f>
        <v>450</v>
      </c>
    </row>
    <row r="5" spans="1:7" x14ac:dyDescent="0.25">
      <c r="A5" t="s">
        <v>38</v>
      </c>
      <c r="B5" s="6">
        <f>Assumptions!$C$8</f>
        <v>3</v>
      </c>
      <c r="C5" s="6">
        <f>Assumptions!$C$8</f>
        <v>3</v>
      </c>
      <c r="D5" s="6">
        <f>Assumptions!$C$8</f>
        <v>3</v>
      </c>
      <c r="E5" s="6">
        <f>Assumptions!$C$8</f>
        <v>3</v>
      </c>
      <c r="F5" s="6">
        <f>Assumptions!$C$8</f>
        <v>3</v>
      </c>
      <c r="G5" s="6">
        <f>Assumptions!$C$8</f>
        <v>3</v>
      </c>
    </row>
    <row r="6" spans="1:7" x14ac:dyDescent="0.25">
      <c r="A6" t="s">
        <v>77</v>
      </c>
      <c r="B6" s="6">
        <f>IF(0=0,0,IF(0&lt;=Assumptions!$C$8,(Assumptions!$C$7-Assumptions!$C$9)/Assumptions!$C$8,0))</f>
        <v>0</v>
      </c>
      <c r="C6" s="6">
        <f>IF(1=0,0,IF(1&lt;=Assumptions!$C$8,(Assumptions!$C$7-Assumptions!$C$9)/Assumptions!$C$8,0))</f>
        <v>150</v>
      </c>
      <c r="D6" s="6">
        <f>IF(2=0,0,IF(2&lt;=Assumptions!$C$8,(Assumptions!$C$7-Assumptions!$C$9)/Assumptions!$C$8,0))</f>
        <v>150</v>
      </c>
      <c r="E6" s="6">
        <f>IF(3=0,0,IF(3&lt;=Assumptions!$C$8,(Assumptions!$C$7-Assumptions!$C$9)/Assumptions!$C$8,0))</f>
        <v>150</v>
      </c>
      <c r="F6" s="6">
        <f>IF(4=0,0,IF(4&lt;=Assumptions!$C$8,(Assumptions!$C$7-Assumptions!$C$9)/Assumptions!$C$8,0))</f>
        <v>0</v>
      </c>
      <c r="G6" s="6">
        <f>IF(5=0,0,IF(5&lt;=Assumptions!$C$8,(Assumptions!$C$7-Assumptions!$C$9)/Assumptions!$C$8,0))</f>
        <v>0</v>
      </c>
    </row>
    <row r="7" spans="1:7" x14ac:dyDescent="0.25">
      <c r="A7" t="s">
        <v>78</v>
      </c>
      <c r="B7" s="6">
        <f>SUM($B$6:B6)</f>
        <v>0</v>
      </c>
      <c r="C7" s="6">
        <f>SUM($B$6:C6)</f>
        <v>150</v>
      </c>
      <c r="D7" s="6">
        <f>SUM($B$6:D6)</f>
        <v>300</v>
      </c>
      <c r="E7" s="6">
        <f>SUM($B$6:E6)</f>
        <v>450</v>
      </c>
      <c r="F7" s="6">
        <f>SUM($B$6:F6)</f>
        <v>450</v>
      </c>
      <c r="G7" s="6">
        <f>SUM($B$6:G6)</f>
        <v>450</v>
      </c>
    </row>
    <row r="8" spans="1:7" x14ac:dyDescent="0.25">
      <c r="A8" t="s">
        <v>79</v>
      </c>
      <c r="B8" s="6">
        <f t="shared" ref="B8:G8" si="0">MAX(0,B2+B3-B6)</f>
        <v>450</v>
      </c>
      <c r="C8" s="6">
        <f t="shared" si="0"/>
        <v>300</v>
      </c>
      <c r="D8" s="6">
        <f t="shared" si="0"/>
        <v>150</v>
      </c>
      <c r="E8" s="6">
        <f t="shared" si="0"/>
        <v>0</v>
      </c>
      <c r="F8" s="6">
        <f t="shared" si="0"/>
        <v>0</v>
      </c>
      <c r="G8" s="6">
        <f t="shared" si="0"/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5B9BD5"/>
  </sheetPr>
  <dimension ref="A1:G17"/>
  <sheetViews>
    <sheetView showGridLines="0" workbookViewId="0"/>
  </sheetViews>
  <sheetFormatPr defaultRowHeight="15" x14ac:dyDescent="0.25"/>
  <cols>
    <col min="1" max="1" width="28" customWidth="1"/>
    <col min="2" max="7" width="14" customWidth="1"/>
  </cols>
  <sheetData>
    <row r="1" spans="1:7" x14ac:dyDescent="0.25">
      <c r="A1" s="3" t="s">
        <v>80</v>
      </c>
      <c r="B1" s="3" t="s">
        <v>55</v>
      </c>
      <c r="C1" s="3" t="s">
        <v>56</v>
      </c>
      <c r="D1" s="3" t="s">
        <v>57</v>
      </c>
      <c r="E1" s="3" t="s">
        <v>58</v>
      </c>
      <c r="F1" s="3" t="s">
        <v>59</v>
      </c>
      <c r="G1" s="3" t="s">
        <v>60</v>
      </c>
    </row>
    <row r="2" spans="1:7" x14ac:dyDescent="0.25">
      <c r="A2" t="s">
        <v>71</v>
      </c>
      <c r="B2" s="6">
        <v>0</v>
      </c>
      <c r="C2" s="6">
        <f>'Profitability Model'!C16</f>
        <v>25.2</v>
      </c>
      <c r="D2" s="6">
        <f>'Profitability Model'!D16</f>
        <v>25.2</v>
      </c>
      <c r="E2" s="6">
        <f>'Profitability Model'!E16</f>
        <v>25.2</v>
      </c>
      <c r="F2" s="6">
        <f>'Profitability Model'!F16</f>
        <v>115.19999999999999</v>
      </c>
      <c r="G2" s="6">
        <f>'Profitability Model'!G16</f>
        <v>115.19999999999999</v>
      </c>
    </row>
    <row r="3" spans="1:7" x14ac:dyDescent="0.25">
      <c r="A3" t="s">
        <v>81</v>
      </c>
      <c r="B3" s="6">
        <v>0</v>
      </c>
      <c r="C3" s="6">
        <f>'Profitability Model'!C11</f>
        <v>150</v>
      </c>
      <c r="D3" s="6">
        <f>'Profitability Model'!D11</f>
        <v>150</v>
      </c>
      <c r="E3" s="6">
        <f>'Profitability Model'!E11</f>
        <v>150</v>
      </c>
      <c r="F3" s="6">
        <f>'Profitability Model'!F11</f>
        <v>0</v>
      </c>
      <c r="G3" s="6">
        <f>'Profitability Model'!G11</f>
        <v>0</v>
      </c>
    </row>
    <row r="4" spans="1:7" x14ac:dyDescent="0.25">
      <c r="A4" t="s">
        <v>82</v>
      </c>
      <c r="B4" s="6">
        <f t="shared" ref="B4:G4" si="0">SUM(B2:B3)</f>
        <v>0</v>
      </c>
      <c r="C4" s="6">
        <f t="shared" si="0"/>
        <v>175.2</v>
      </c>
      <c r="D4" s="6">
        <f t="shared" si="0"/>
        <v>175.2</v>
      </c>
      <c r="E4" s="6">
        <f t="shared" si="0"/>
        <v>175.2</v>
      </c>
      <c r="F4" s="6">
        <f t="shared" si="0"/>
        <v>115.19999999999999</v>
      </c>
      <c r="G4" s="6">
        <f t="shared" si="0"/>
        <v>115.19999999999999</v>
      </c>
    </row>
    <row r="5" spans="1:7" x14ac:dyDescent="0.25">
      <c r="A5" t="s">
        <v>75</v>
      </c>
      <c r="B5" s="6">
        <f>-Assumptions!$C$7</f>
        <v>-450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7" x14ac:dyDescent="0.25">
      <c r="A6" t="s">
        <v>41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f>Assumptions!$C$9</f>
        <v>0</v>
      </c>
    </row>
    <row r="7" spans="1:7" x14ac:dyDescent="0.25">
      <c r="A7" s="7" t="s">
        <v>83</v>
      </c>
      <c r="B7" s="8">
        <f t="shared" ref="B7:G7" si="1">SUM(B4:B6)</f>
        <v>-450</v>
      </c>
      <c r="C7" s="8">
        <f t="shared" si="1"/>
        <v>175.2</v>
      </c>
      <c r="D7" s="8">
        <f t="shared" si="1"/>
        <v>175.2</v>
      </c>
      <c r="E7" s="8">
        <f t="shared" si="1"/>
        <v>175.2</v>
      </c>
      <c r="F7" s="8">
        <f t="shared" si="1"/>
        <v>115.19999999999999</v>
      </c>
      <c r="G7" s="8">
        <f t="shared" si="1"/>
        <v>115.19999999999999</v>
      </c>
    </row>
    <row r="8" spans="1:7" x14ac:dyDescent="0.25">
      <c r="A8" t="s">
        <v>84</v>
      </c>
      <c r="B8" s="9">
        <f>1/(1+Assumptions!$C$12)^0</f>
        <v>1</v>
      </c>
      <c r="C8" s="9">
        <f>1/(1+Assumptions!$C$12)^1</f>
        <v>0.92165898617511521</v>
      </c>
      <c r="D8" s="9">
        <f>1/(1+Assumptions!$C$12)^2</f>
        <v>0.84945528679734128</v>
      </c>
      <c r="E8" s="9">
        <f>1/(1+Assumptions!$C$12)^3</f>
        <v>0.78290809843072917</v>
      </c>
      <c r="F8" s="9">
        <f>1/(1+Assumptions!$C$12)^4</f>
        <v>0.72157428426795334</v>
      </c>
      <c r="G8" s="9">
        <f>1/(1+Assumptions!$C$12)^5</f>
        <v>0.66504542328843619</v>
      </c>
    </row>
    <row r="9" spans="1:7" x14ac:dyDescent="0.25">
      <c r="A9" s="7" t="s">
        <v>85</v>
      </c>
      <c r="B9" s="8">
        <f t="shared" ref="B9:G9" si="2">B7*B8</f>
        <v>-450</v>
      </c>
      <c r="C9" s="8">
        <f t="shared" si="2"/>
        <v>161.47465437788017</v>
      </c>
      <c r="D9" s="8">
        <f t="shared" si="2"/>
        <v>148.82456624689419</v>
      </c>
      <c r="E9" s="8">
        <f t="shared" si="2"/>
        <v>137.16549884506375</v>
      </c>
      <c r="F9" s="8">
        <f t="shared" si="2"/>
        <v>83.125357547668216</v>
      </c>
      <c r="G9" s="8">
        <f t="shared" si="2"/>
        <v>76.613232762827835</v>
      </c>
    </row>
    <row r="10" spans="1:7" x14ac:dyDescent="0.25">
      <c r="A10" t="s">
        <v>86</v>
      </c>
      <c r="B10" s="6">
        <f>SUM($B$7:B$7)</f>
        <v>-450</v>
      </c>
      <c r="C10" s="6">
        <f>SUM($B$7:C$7)</f>
        <v>-274.8</v>
      </c>
      <c r="D10" s="6">
        <f>SUM($B$7:D$7)</f>
        <v>-99.600000000000023</v>
      </c>
      <c r="E10" s="6">
        <f>SUM($B$7:E$7)</f>
        <v>75.599999999999966</v>
      </c>
      <c r="F10" s="6">
        <f>SUM($B$7:F$7)</f>
        <v>190.79999999999995</v>
      </c>
      <c r="G10" s="6">
        <f>SUM($B$7:G$7)</f>
        <v>305.99999999999994</v>
      </c>
    </row>
    <row r="13" spans="1:7" ht="18.75" customHeight="1" x14ac:dyDescent="0.3">
      <c r="A13" s="1" t="s">
        <v>87</v>
      </c>
    </row>
    <row r="14" spans="1:7" x14ac:dyDescent="0.25">
      <c r="A14" t="s">
        <v>88</v>
      </c>
      <c r="B14" s="6">
        <f>B7+NPV(Assumptions!C12,C7:G7)</f>
        <v>157.20330978033405</v>
      </c>
    </row>
    <row r="15" spans="1:7" x14ac:dyDescent="0.25">
      <c r="A15" t="s">
        <v>89</v>
      </c>
      <c r="B15" s="9">
        <f>IRR(B7:G7)</f>
        <v>0.22272855525387247</v>
      </c>
    </row>
    <row r="16" spans="1:7" x14ac:dyDescent="0.25">
      <c r="A16" t="s">
        <v>6</v>
      </c>
      <c r="B16" s="10">
        <f>2+ABS(D10)/E7</f>
        <v>2.5684931506849318</v>
      </c>
    </row>
    <row r="17" spans="1:2" x14ac:dyDescent="0.25">
      <c r="A17" t="s">
        <v>90</v>
      </c>
      <c r="B17" s="11" t="str">
        <f>IF(AND(B14&gt;0,B15&gt;Assumptions!C12),"PROCEED","DO NOT PROCEED")</f>
        <v>PROCEED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Executive Summary</vt:lpstr>
      <vt:lpstr>Assumptions</vt:lpstr>
      <vt:lpstr>Profitability Model</vt:lpstr>
      <vt:lpstr>Depreciation Schedule</vt:lpstr>
      <vt:lpstr>DCF &amp; Returns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 Drzal</cp:lastModifiedBy>
  <dcterms:created xsi:type="dcterms:W3CDTF">2026-07-28T22:01:37Z</dcterms:created>
  <dcterms:modified xsi:type="dcterms:W3CDTF">2026-08-03T22:14:21Z</dcterms:modified>
</cp:coreProperties>
</file>