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jdrz\Desktop\gettingajob\"/>
    </mc:Choice>
  </mc:AlternateContent>
  <xr:revisionPtr revIDLastSave="0" documentId="13_ncr:1_{54F2A119-991B-4BAB-8BE0-9DF9ABDE6600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START HERE" sheetId="1" r:id="rId1"/>
    <sheet name="Company Profile" sheetId="3" r:id="rId2"/>
    <sheet name="Assumptions" sheetId="4" r:id="rId3"/>
    <sheet name="Historical Actuals" sheetId="5" r:id="rId4"/>
    <sheet name="2026 Budget" sheetId="6" r:id="rId5"/>
    <sheet name="2026 Actual YTD" sheetId="7" r:id="rId6"/>
    <sheet name="Rolling Forecast" sheetId="8" r:id="rId7"/>
    <sheet name="Variance " sheetId="9" r:id="rId8"/>
  </sheets>
  <definedNames>
    <definedName name="_xlnm._FilterDatabase" localSheetId="5" hidden="1">'2026 Actual YTD'!$A$1:$Y$7</definedName>
    <definedName name="_xlnm._FilterDatabase" localSheetId="4" hidden="1">'2026 Budget'!$A$1:$Y$13</definedName>
    <definedName name="_xlnm._FilterDatabase" localSheetId="2" hidden="1">Assumptions!$A$1:$E$26</definedName>
    <definedName name="_xlnm._FilterDatabase" localSheetId="1" hidden="1">'Company Profile'!$A$1:$B$18</definedName>
    <definedName name="_xlnm._FilterDatabase" localSheetId="3" hidden="1">'Historical Actuals'!$A$1:$Y$25</definedName>
    <definedName name="_xlnm._FilterDatabase" localSheetId="7" hidden="1">'Variance '!$A$1:$L$13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G13" i="9"/>
  <c r="C13" i="9"/>
  <c r="B13" i="9"/>
  <c r="H12" i="9"/>
  <c r="G12" i="9"/>
  <c r="C12" i="9"/>
  <c r="B12" i="9"/>
  <c r="H11" i="9"/>
  <c r="G11" i="9"/>
  <c r="C11" i="9"/>
  <c r="B11" i="9"/>
  <c r="H10" i="9"/>
  <c r="G10" i="9"/>
  <c r="C10" i="9"/>
  <c r="B10" i="9"/>
  <c r="H9" i="9"/>
  <c r="G9" i="9"/>
  <c r="C9" i="9"/>
  <c r="B9" i="9"/>
  <c r="H8" i="9"/>
  <c r="G8" i="9"/>
  <c r="C8" i="9"/>
  <c r="B8" i="9"/>
  <c r="H7" i="9"/>
  <c r="G7" i="9"/>
  <c r="C7" i="9"/>
  <c r="B7" i="9"/>
  <c r="H6" i="9"/>
  <c r="G6" i="9"/>
  <c r="C6" i="9"/>
  <c r="B6" i="9"/>
  <c r="H5" i="9"/>
  <c r="G5" i="9"/>
  <c r="C5" i="9"/>
  <c r="B5" i="9"/>
  <c r="H4" i="9"/>
  <c r="G4" i="9"/>
  <c r="C4" i="9"/>
  <c r="B4" i="9"/>
  <c r="H3" i="9"/>
  <c r="G3" i="9"/>
  <c r="C3" i="9"/>
  <c r="B3" i="9"/>
  <c r="H2" i="9"/>
  <c r="G2" i="9"/>
  <c r="C2" i="9"/>
  <c r="B2" i="9"/>
  <c r="M24" i="8"/>
  <c r="L24" i="8"/>
  <c r="K24" i="8"/>
  <c r="J24" i="8"/>
  <c r="I24" i="8"/>
  <c r="H24" i="8"/>
  <c r="G24" i="8"/>
  <c r="F24" i="8"/>
  <c r="E24" i="8"/>
  <c r="D24" i="8"/>
  <c r="C24" i="8"/>
  <c r="B24" i="8"/>
  <c r="G23" i="8"/>
  <c r="F23" i="8"/>
  <c r="E23" i="8"/>
  <c r="D23" i="8"/>
  <c r="C23" i="8"/>
  <c r="B23" i="8"/>
  <c r="G22" i="8"/>
  <c r="F22" i="8"/>
  <c r="E22" i="8"/>
  <c r="D22" i="8"/>
  <c r="C22" i="8"/>
  <c r="B22" i="8"/>
  <c r="M21" i="8"/>
  <c r="L21" i="8"/>
  <c r="K21" i="8"/>
  <c r="J21" i="8"/>
  <c r="I21" i="8"/>
  <c r="H21" i="8"/>
  <c r="G21" i="8"/>
  <c r="F21" i="8"/>
  <c r="E21" i="8"/>
  <c r="D21" i="8"/>
  <c r="C21" i="8"/>
  <c r="B21" i="8"/>
  <c r="G20" i="8"/>
  <c r="F20" i="8"/>
  <c r="E20" i="8"/>
  <c r="D20" i="8"/>
  <c r="C20" i="8"/>
  <c r="B20" i="8"/>
  <c r="M19" i="8"/>
  <c r="L19" i="8"/>
  <c r="K19" i="8"/>
  <c r="J19" i="8"/>
  <c r="I19" i="8"/>
  <c r="H19" i="8"/>
  <c r="G19" i="8"/>
  <c r="F19" i="8"/>
  <c r="E19" i="8"/>
  <c r="D19" i="8"/>
  <c r="C19" i="8"/>
  <c r="B19" i="8"/>
  <c r="G17" i="8"/>
  <c r="F17" i="8"/>
  <c r="E17" i="8"/>
  <c r="D17" i="8"/>
  <c r="C17" i="8"/>
  <c r="B17" i="8"/>
  <c r="M16" i="8"/>
  <c r="L16" i="8"/>
  <c r="K16" i="8"/>
  <c r="J16" i="8"/>
  <c r="I16" i="8"/>
  <c r="H16" i="8"/>
  <c r="G16" i="8"/>
  <c r="F16" i="8"/>
  <c r="E16" i="8"/>
  <c r="D16" i="8"/>
  <c r="C16" i="8"/>
  <c r="B16" i="8"/>
  <c r="M15" i="8"/>
  <c r="L15" i="8"/>
  <c r="K15" i="8"/>
  <c r="J15" i="8"/>
  <c r="I15" i="8"/>
  <c r="H15" i="8"/>
  <c r="G15" i="8"/>
  <c r="F15" i="8"/>
  <c r="E15" i="8"/>
  <c r="D15" i="8"/>
  <c r="C15" i="8"/>
  <c r="B15" i="8"/>
  <c r="M14" i="8"/>
  <c r="L14" i="8"/>
  <c r="K14" i="8"/>
  <c r="J14" i="8"/>
  <c r="I14" i="8"/>
  <c r="H14" i="8"/>
  <c r="G14" i="8"/>
  <c r="F14" i="8"/>
  <c r="E14" i="8"/>
  <c r="D14" i="8"/>
  <c r="C14" i="8"/>
  <c r="B14" i="8"/>
  <c r="G12" i="8"/>
  <c r="F12" i="8"/>
  <c r="E12" i="8"/>
  <c r="D12" i="8"/>
  <c r="C12" i="8"/>
  <c r="B12" i="8"/>
  <c r="G11" i="8"/>
  <c r="F11" i="8"/>
  <c r="E11" i="8"/>
  <c r="D11" i="8"/>
  <c r="C11" i="8"/>
  <c r="B11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G8" i="8"/>
  <c r="F8" i="8"/>
  <c r="E8" i="8"/>
  <c r="D8" i="8"/>
  <c r="C8" i="8"/>
  <c r="B8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M5" i="8"/>
  <c r="L5" i="8"/>
  <c r="K5" i="8"/>
  <c r="J5" i="8"/>
  <c r="I5" i="8"/>
  <c r="H5" i="8"/>
  <c r="G5" i="8"/>
  <c r="F5" i="8"/>
  <c r="E5" i="8"/>
  <c r="D5" i="8"/>
  <c r="C5" i="8"/>
  <c r="B5" i="8"/>
  <c r="G4" i="8"/>
  <c r="F4" i="8"/>
  <c r="E4" i="8"/>
  <c r="D4" i="8"/>
  <c r="C4" i="8"/>
  <c r="B4" i="8"/>
  <c r="N4" i="8" s="1"/>
  <c r="I9" i="9" l="1"/>
  <c r="K9" i="9" s="1"/>
  <c r="D11" i="9"/>
  <c r="E11" i="9" s="1"/>
  <c r="D7" i="9"/>
  <c r="F7" i="9" s="1"/>
  <c r="I8" i="9"/>
  <c r="K8" i="9" s="1"/>
  <c r="I12" i="9"/>
  <c r="K12" i="9" s="1"/>
  <c r="F13" i="8"/>
  <c r="I13" i="9"/>
  <c r="K13" i="9" s="1"/>
  <c r="G13" i="8"/>
  <c r="D6" i="9"/>
  <c r="E6" i="9" s="1"/>
  <c r="D10" i="9"/>
  <c r="F10" i="9" s="1"/>
  <c r="I10" i="9"/>
  <c r="K10" i="9" s="1"/>
  <c r="D3" i="9"/>
  <c r="E3" i="9" s="1"/>
  <c r="D4" i="9"/>
  <c r="F4" i="9" s="1"/>
  <c r="I4" i="9"/>
  <c r="K4" i="9" s="1"/>
  <c r="H4" i="8"/>
  <c r="E13" i="8"/>
  <c r="D5" i="9"/>
  <c r="F5" i="9" s="1"/>
  <c r="C18" i="8"/>
  <c r="I6" i="9"/>
  <c r="K6" i="9" s="1"/>
  <c r="I3" i="9"/>
  <c r="K3" i="9" s="1"/>
  <c r="N16" i="8"/>
  <c r="D12" i="9"/>
  <c r="F12" i="9" s="1"/>
  <c r="C13" i="8"/>
  <c r="B13" i="8"/>
  <c r="C25" i="8"/>
  <c r="C26" i="8" s="1"/>
  <c r="C27" i="8" s="1"/>
  <c r="E18" i="8"/>
  <c r="N19" i="8"/>
  <c r="N5" i="8"/>
  <c r="N9" i="8"/>
  <c r="D13" i="8"/>
  <c r="G18" i="8"/>
  <c r="N15" i="8"/>
  <c r="I7" i="9"/>
  <c r="K7" i="9" s="1"/>
  <c r="I11" i="9"/>
  <c r="J11" i="9" s="1"/>
  <c r="N14" i="8"/>
  <c r="N21" i="8"/>
  <c r="B25" i="8"/>
  <c r="B26" i="8" s="1"/>
  <c r="B27" i="8" s="1"/>
  <c r="D8" i="9"/>
  <c r="F8" i="9" s="1"/>
  <c r="D2" i="9"/>
  <c r="F2" i="9" s="1"/>
  <c r="N6" i="8"/>
  <c r="N24" i="8"/>
  <c r="I2" i="9"/>
  <c r="J2" i="9" s="1"/>
  <c r="I5" i="9"/>
  <c r="K5" i="9" s="1"/>
  <c r="D9" i="9"/>
  <c r="F9" i="9" s="1"/>
  <c r="D13" i="9"/>
  <c r="F13" i="9" s="1"/>
  <c r="D25" i="8"/>
  <c r="D26" i="8" s="1"/>
  <c r="D27" i="8" s="1"/>
  <c r="E25" i="8"/>
  <c r="E26" i="8" s="1"/>
  <c r="E27" i="8" s="1"/>
  <c r="F25" i="8"/>
  <c r="F26" i="8" s="1"/>
  <c r="F27" i="8" s="1"/>
  <c r="B18" i="8"/>
  <c r="G25" i="8"/>
  <c r="G26" i="8" s="1"/>
  <c r="D18" i="8"/>
  <c r="F18" i="8"/>
  <c r="J9" i="9" l="1"/>
  <c r="J8" i="9"/>
  <c r="F11" i="9"/>
  <c r="E7" i="9"/>
  <c r="J13" i="9"/>
  <c r="J3" i="9"/>
  <c r="J12" i="9"/>
  <c r="F6" i="9"/>
  <c r="E8" i="9"/>
  <c r="K11" i="9"/>
  <c r="E10" i="9"/>
  <c r="E12" i="9"/>
  <c r="J10" i="9"/>
  <c r="E5" i="9"/>
  <c r="F3" i="9"/>
  <c r="E4" i="9"/>
  <c r="H7" i="8"/>
  <c r="H8" i="8" s="1"/>
  <c r="I4" i="8" s="1"/>
  <c r="I7" i="8" s="1"/>
  <c r="I8" i="8" s="1"/>
  <c r="J4" i="8" s="1"/>
  <c r="E9" i="9"/>
  <c r="J6" i="9"/>
  <c r="J4" i="9"/>
  <c r="K2" i="9"/>
  <c r="J5" i="9"/>
  <c r="J7" i="9"/>
  <c r="E13" i="9"/>
  <c r="E2" i="9"/>
  <c r="G27" i="8"/>
  <c r="B28" i="8"/>
  <c r="C28" i="8" s="1"/>
  <c r="D28" i="8" s="1"/>
  <c r="E28" i="8" s="1"/>
  <c r="F28" i="8" s="1"/>
  <c r="H10" i="8" l="1"/>
  <c r="H11" i="8" s="1"/>
  <c r="H12" i="8" s="1"/>
  <c r="G28" i="8"/>
  <c r="J7" i="8"/>
  <c r="I10" i="8"/>
  <c r="H25" i="8" l="1"/>
  <c r="H17" i="8"/>
  <c r="H13" i="8"/>
  <c r="J8" i="8"/>
  <c r="I11" i="8"/>
  <c r="I25" i="8"/>
  <c r="I12" i="8" l="1"/>
  <c r="K4" i="8"/>
  <c r="J10" i="8"/>
  <c r="H18" i="8"/>
  <c r="H20" i="8"/>
  <c r="H22" i="8" l="1"/>
  <c r="H23" i="8" s="1"/>
  <c r="K7" i="8"/>
  <c r="K8" i="8" s="1"/>
  <c r="J25" i="8"/>
  <c r="J11" i="8"/>
  <c r="I17" i="8"/>
  <c r="I13" i="8"/>
  <c r="L4" i="8" l="1"/>
  <c r="K10" i="8"/>
  <c r="H26" i="8"/>
  <c r="I18" i="8"/>
  <c r="I20" i="8"/>
  <c r="J12" i="8"/>
  <c r="J17" i="8" l="1"/>
  <c r="J13" i="8"/>
  <c r="K25" i="8"/>
  <c r="K11" i="8"/>
  <c r="K12" i="8" s="1"/>
  <c r="I22" i="8"/>
  <c r="H27" i="8"/>
  <c r="L7" i="8"/>
  <c r="L8" i="8" s="1"/>
  <c r="M4" i="8" l="1"/>
  <c r="L10" i="8"/>
  <c r="K17" i="8"/>
  <c r="K13" i="8"/>
  <c r="I23" i="8"/>
  <c r="H28" i="8"/>
  <c r="J18" i="8"/>
  <c r="J20" i="8"/>
  <c r="J22" i="8" l="1"/>
  <c r="J23" i="8" s="1"/>
  <c r="I26" i="8"/>
  <c r="K18" i="8"/>
  <c r="K20" i="8"/>
  <c r="L25" i="8"/>
  <c r="L11" i="8"/>
  <c r="L12" i="8" s="1"/>
  <c r="M7" i="8"/>
  <c r="N7" i="8" s="1"/>
  <c r="L13" i="8" l="1"/>
  <c r="L17" i="8"/>
  <c r="J26" i="8"/>
  <c r="J27" i="8" s="1"/>
  <c r="K22" i="8"/>
  <c r="K23" i="8" s="1"/>
  <c r="I27" i="8"/>
  <c r="M8" i="8"/>
  <c r="K26" i="8" l="1"/>
  <c r="I28" i="8"/>
  <c r="J28" i="8" s="1"/>
  <c r="N8" i="8"/>
  <c r="M10" i="8"/>
  <c r="L18" i="8"/>
  <c r="L20" i="8"/>
  <c r="L22" i="8" l="1"/>
  <c r="L23" i="8" s="1"/>
  <c r="L26" i="8" s="1"/>
  <c r="L27" i="8" s="1"/>
  <c r="M25" i="8"/>
  <c r="N25" i="8" s="1"/>
  <c r="M11" i="8"/>
  <c r="N11" i="8" s="1"/>
  <c r="N10" i="8"/>
  <c r="K27" i="8"/>
  <c r="M12" i="8" l="1"/>
  <c r="K28" i="8"/>
  <c r="L28" i="8" s="1"/>
  <c r="M13" i="8" l="1"/>
  <c r="M17" i="8"/>
  <c r="N12" i="8"/>
  <c r="N13" i="8" s="1"/>
  <c r="M18" i="8" l="1"/>
  <c r="M20" i="8"/>
  <c r="N17" i="8"/>
  <c r="N18" i="8" l="1"/>
  <c r="M22" i="8"/>
  <c r="N22" i="8" s="1"/>
  <c r="N20" i="8"/>
  <c r="M23" i="8" l="1"/>
  <c r="M26" i="8" l="1"/>
  <c r="N23" i="8"/>
  <c r="M27" i="8" l="1"/>
  <c r="N26" i="8"/>
  <c r="N27" i="8" l="1"/>
  <c r="M28" i="8"/>
  <c r="N28" i="8" l="1"/>
</calcChain>
</file>

<file path=xl/sharedStrings.xml><?xml version="1.0" encoding="utf-8"?>
<sst xmlns="http://schemas.openxmlformats.org/spreadsheetml/2006/main" count="316" uniqueCount="174">
  <si>
    <t>FP&amp;A Project 2 — BrightPath Analytics</t>
  </si>
  <si>
    <t>Your role</t>
  </si>
  <si>
    <t>You are the FP&amp;A Analyst at BrightPath Analytics, a fictional B2B subscription-software company. The CFO needs a June 2026 performance review and an updated full-year forecast.</t>
  </si>
  <si>
    <t>Business questions to answer</t>
  </si>
  <si>
    <t>1. Why are revenue and EBITDA above or below budget for June and year-to-date?</t>
  </si>
  <si>
    <t>2. What are the most important operational drivers of the variances?</t>
  </si>
  <si>
    <t>3. What will FY2026 revenue, EBITDA, and ending cash be under Base, Upside, and Downside cases?</t>
  </si>
  <si>
    <t>4. Can the company afford its planned hiring while maintaining at least $1.0 million of cash?</t>
  </si>
  <si>
    <t>5. What three actions should management take?</t>
  </si>
  <si>
    <t>Required deliverables</t>
  </si>
  <si>
    <t>• Monthly 2026 budget-vs.-actual P&amp;L with $ and % variances and favorable/unfavorable flags</t>
  </si>
  <si>
    <t>• A driver-based July–December rolling forecast using a scenario selector</t>
  </si>
  <si>
    <t>• FY2026 income statement and simplified cash-flow forecast</t>
  </si>
  <si>
    <t>• A one-page dashboard with KPIs and charts</t>
  </si>
  <si>
    <t>• A five-bullet CFO executive summary with findings, risks, and recommendations</t>
  </si>
  <si>
    <t>Workbook map</t>
  </si>
  <si>
    <t>Company Profile</t>
  </si>
  <si>
    <t>Business model, accounting policies, and KPI definitions</t>
  </si>
  <si>
    <t>Assumptions</t>
  </si>
  <si>
    <t>Budget and scenario drivers; yellow cells are intended inputs</t>
  </si>
  <si>
    <t>Historical Actuals</t>
  </si>
  <si>
    <t>24 months of monthly actual P&amp;L and operating data</t>
  </si>
  <si>
    <t>2026 Budget</t>
  </si>
  <si>
    <t>Approved monthly plan for FY2026</t>
  </si>
  <si>
    <t>2026 Actual YTD</t>
  </si>
  <si>
    <t>January–June actual results released by Accounting</t>
  </si>
  <si>
    <t>Model Template</t>
  </si>
  <si>
    <t>Blank framework for your rolling forecast</t>
  </si>
  <si>
    <t>Variance Template</t>
  </si>
  <si>
    <t>Blank framework for your budget-vs.-actual analysis</t>
  </si>
  <si>
    <t>Dashboard</t>
  </si>
  <si>
    <t>Blank presentation area for final management reporting</t>
  </si>
  <si>
    <t>Checks</t>
  </si>
  <si>
    <t>Suggested model-control tests</t>
  </si>
  <si>
    <t>Base</t>
  </si>
  <si>
    <t>Upside</t>
  </si>
  <si>
    <t>Downside</t>
  </si>
  <si>
    <t>Ending Customers</t>
  </si>
  <si>
    <t>Ending Cash</t>
  </si>
  <si>
    <t>Item</t>
  </si>
  <si>
    <t>Description</t>
  </si>
  <si>
    <t>Company</t>
  </si>
  <si>
    <t>BrightPath Analytics, Inc.</t>
  </si>
  <si>
    <t>Industry</t>
  </si>
  <si>
    <t>B2B subscription software / analytics</t>
  </si>
  <si>
    <t>Customers</t>
  </si>
  <si>
    <t>Small and mid-sized retail businesses</t>
  </si>
  <si>
    <t>Revenue model</t>
  </si>
  <si>
    <t>Monthly subscription; no long-term contracts</t>
  </si>
  <si>
    <t>Products</t>
  </si>
  <si>
    <t>Core ($499/mo), Growth ($899/mo), Enterprise ($1,699/mo)</t>
  </si>
  <si>
    <t>Reporting currency</t>
  </si>
  <si>
    <t>USD; workbook figures are in $000 except operating KPIs</t>
  </si>
  <si>
    <t>Revenue recognition</t>
  </si>
  <si>
    <t>Subscription revenue recognized monthly</t>
  </si>
  <si>
    <t>COGS</t>
  </si>
  <si>
    <t>Cloud hosting, customer support, and payment processing</t>
  </si>
  <si>
    <t>Departments</t>
  </si>
  <si>
    <t>Sales &amp; Marketing, R&amp;D, and G&amp;A</t>
  </si>
  <si>
    <t>Minimum cash policy</t>
  </si>
  <si>
    <t>$1,000 ($000)</t>
  </si>
  <si>
    <t>Accounts receivable</t>
  </si>
  <si>
    <t>Approximately 8% of revenue</t>
  </si>
  <si>
    <t>Accounts payable</t>
  </si>
  <si>
    <t>Approximately 10% of non-payroll operating costs</t>
  </si>
  <si>
    <t>Capital expenditures</t>
  </si>
  <si>
    <t>Software, computers, and office equipment</t>
  </si>
  <si>
    <t>Depreciation</t>
  </si>
  <si>
    <t>Straight-line; modeled using a simplified monthly schedule</t>
  </si>
  <si>
    <t>Churn definition</t>
  </si>
  <si>
    <t>Customers lost during month ÷ beginning customers</t>
  </si>
  <si>
    <t>ARPU definition</t>
  </si>
  <si>
    <t>Subscription revenue ÷ average active customers</t>
  </si>
  <si>
    <t>EBITDA definition</t>
  </si>
  <si>
    <t>Revenue − COGS − operating expenses; excludes D&amp;A</t>
  </si>
  <si>
    <t>Scenario</t>
  </si>
  <si>
    <t>Assumption</t>
  </si>
  <si>
    <t>Value</t>
  </si>
  <si>
    <t>Unit</t>
  </si>
  <si>
    <t>Notes</t>
  </si>
  <si>
    <t>Budget</t>
  </si>
  <si>
    <t>Monthly new customers</t>
  </si>
  <si>
    <t>customers</t>
  </si>
  <si>
    <t>Approved plan</t>
  </si>
  <si>
    <t>Monthly churn rate</t>
  </si>
  <si>
    <t>%</t>
  </si>
  <si>
    <t>Applied to beginning customers</t>
  </si>
  <si>
    <t>Monthly ARPU</t>
  </si>
  <si>
    <t>$000</t>
  </si>
  <si>
    <t>Blended subscription revenue/customer</t>
  </si>
  <si>
    <t>Annual merit increase</t>
  </si>
  <si>
    <t>Effective each January</t>
  </si>
  <si>
    <t>Benefits and payroll tax</t>
  </si>
  <si>
    <t>% salary</t>
  </si>
  <si>
    <t>Included in department expense</t>
  </si>
  <si>
    <t>Variable COGS</t>
  </si>
  <si>
    <t>% revenue</t>
  </si>
  <si>
    <t>Hosting/payment costs</t>
  </si>
  <si>
    <t>Fixed support COGS</t>
  </si>
  <si>
    <t>$000/month</t>
  </si>
  <si>
    <t>Support payroll and tools</t>
  </si>
  <si>
    <t>Marketing programs</t>
  </si>
  <si>
    <t>Excludes S&amp;M payroll</t>
  </si>
  <si>
    <t>R&amp;D non-payroll</t>
  </si>
  <si>
    <t>Software and contractors</t>
  </si>
  <si>
    <t>G&amp;A non-payroll</t>
  </si>
  <si>
    <t>Rent, legal, insurance, admin</t>
  </si>
  <si>
    <t>Monthly capex</t>
  </si>
  <si>
    <t>Baseline</t>
  </si>
  <si>
    <t>Simplified forecast</t>
  </si>
  <si>
    <t>Opening 2026 cash</t>
  </si>
  <si>
    <t>12/31/2025 balance</t>
  </si>
  <si>
    <t>New customer multiplier</t>
  </si>
  <si>
    <t>x Budget</t>
  </si>
  <si>
    <t>July–December</t>
  </si>
  <si>
    <t>Churn-rate multiplier</t>
  </si>
  <si>
    <t>x latest actual</t>
  </si>
  <si>
    <t>ARPU multiplier</t>
  </si>
  <si>
    <t>x June actual</t>
  </si>
  <si>
    <t>Discretionary opex multiplier</t>
  </si>
  <si>
    <t>Marketing and non-payroll</t>
  </si>
  <si>
    <t>Supports growth</t>
  </si>
  <si>
    <t>Cost response</t>
  </si>
  <si>
    <t>Month</t>
  </si>
  <si>
    <t>Beginning Customers</t>
  </si>
  <si>
    <t>New Customers</t>
  </si>
  <si>
    <t>Churned Customers</t>
  </si>
  <si>
    <t>Churn Rate</t>
  </si>
  <si>
    <t>ARPU ($000)</t>
  </si>
  <si>
    <t>Revenue</t>
  </si>
  <si>
    <t>Fixed Support COGS</t>
  </si>
  <si>
    <t>Total COGS</t>
  </si>
  <si>
    <t>Gross Profit</t>
  </si>
  <si>
    <t>S&amp;M Headcount</t>
  </si>
  <si>
    <t>R&amp;D Headcount</t>
  </si>
  <si>
    <t>G&amp;A Headcount</t>
  </si>
  <si>
    <t>Sales &amp; Marketing</t>
  </si>
  <si>
    <t>Research &amp; Development</t>
  </si>
  <si>
    <t>General &amp; Administrative</t>
  </si>
  <si>
    <t>EBITDA</t>
  </si>
  <si>
    <t>EBIT</t>
  </si>
  <si>
    <t>Interest Expense</t>
  </si>
  <si>
    <t>Income Tax</t>
  </si>
  <si>
    <t>Net Income</t>
  </si>
  <si>
    <t>Capital Expenditures</t>
  </si>
  <si>
    <t>Scenario Selector</t>
  </si>
  <si>
    <t>Answer key: Jan–Jun = actual; Jul–Dec = scenario forecast</t>
  </si>
  <si>
    <t>Metric</t>
  </si>
  <si>
    <t>FY2026</t>
  </si>
  <si>
    <t>Gross Margin %</t>
  </si>
  <si>
    <t>EBITDA Margin %</t>
  </si>
  <si>
    <t>Change in NWC</t>
  </si>
  <si>
    <t>Operating Cash Flow</t>
  </si>
  <si>
    <t>Free Cash Flow</t>
  </si>
  <si>
    <t>June Actual</t>
  </si>
  <si>
    <t>June Budget</t>
  </si>
  <si>
    <t>$ Variance</t>
  </si>
  <si>
    <t>% Variance</t>
  </si>
  <si>
    <t>F / U</t>
  </si>
  <si>
    <t>YTD Actual</t>
  </si>
  <si>
    <t>YTD Budget</t>
  </si>
  <si>
    <t>Commentary</t>
  </si>
  <si>
    <t>Unfavorable: fewer customers and slightly lower ARPU than planned.</t>
  </si>
  <si>
    <t>Lower spending is favorable in dollars, but hosting costs are running above plan as a percentage of revenue.</t>
  </si>
  <si>
    <t>Unfavorable revenue and elevated variable hosting costs reduce gross profit.</t>
  </si>
  <si>
    <t>Favorable spending variance partially offsets the revenue shortfall.</t>
  </si>
  <si>
    <t>Favorable due primarily to delayed hiring and lower contractor expense.</t>
  </si>
  <si>
    <t>Unfavorable due to legal, insurance, and administrative costs.</t>
  </si>
  <si>
    <t>Below plan because gross-profit pressure exceeds operating-expense savings.</t>
  </si>
  <si>
    <t>Below plan, driven mainly by the EBITDA shortfall.</t>
  </si>
  <si>
    <t>Below plan because acquisitions are weaker and churn is higher.</t>
  </si>
  <si>
    <t>Unfavorable: sales acquisition volume is below the approved plan.</t>
  </si>
  <si>
    <t>Unfavorable: retention weakened relative to the 2.5% budget assumption.</t>
  </si>
  <si>
    <t>Slightly unfavorable versus the planned blended price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</si>
</sst>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\$#,##0.0;[Red]\(\$#,##0.0\)"/>
    <numFmt numFmtId="166" formatCode="mmm"/>
  </numFmts>
  <fonts count="9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</font>
    <font>
      <b/>
      <sz val="14"/>
      <color rgb="FF17365D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color rgb="FF17365D"/>
      <name val="Calibri"/>
      <family val="2"/>
    </font>
    <font>
      <b/>
      <sz val="11"/>
      <color rgb="FF9C0006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2" fontId="0" fillId="3" borderId="0" xfId="0" applyNumberFormat="1" applyFill="1"/>
    <xf numFmtId="164" fontId="0" fillId="3" borderId="0" xfId="0" applyNumberFormat="1" applyFill="1"/>
    <xf numFmtId="17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2" borderId="0" xfId="0" applyFont="1" applyFill="1"/>
    <xf numFmtId="0" fontId="0" fillId="3" borderId="0" xfId="0" applyFill="1"/>
    <xf numFmtId="0" fontId="4" fillId="2" borderId="0" xfId="0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0" fontId="5" fillId="0" borderId="0" xfId="0" applyFont="1"/>
    <xf numFmtId="165" fontId="0" fillId="4" borderId="0" xfId="0" applyNumberFormat="1" applyFill="1"/>
    <xf numFmtId="165" fontId="0" fillId="3" borderId="0" xfId="0" applyNumberFormat="1" applyFill="1"/>
    <xf numFmtId="165" fontId="3" fillId="5" borderId="0" xfId="0" applyNumberFormat="1" applyFont="1" applyFill="1"/>
    <xf numFmtId="164" fontId="0" fillId="4" borderId="0" xfId="0" applyNumberFormat="1" applyFill="1"/>
    <xf numFmtId="164" fontId="3" fillId="5" borderId="0" xfId="0" applyNumberFormat="1" applyFont="1" applyFill="1"/>
    <xf numFmtId="43" fontId="0" fillId="4" borderId="0" xfId="1" applyFont="1" applyFill="1"/>
    <xf numFmtId="43" fontId="0" fillId="3" borderId="0" xfId="1" applyFont="1" applyFill="1"/>
    <xf numFmtId="43" fontId="3" fillId="5" borderId="0" xfId="1" applyFont="1" applyFill="1"/>
    <xf numFmtId="0" fontId="0" fillId="0" borderId="0" xfId="0"/>
    <xf numFmtId="0" fontId="1" fillId="2" borderId="0" xfId="0" applyFont="1" applyFill="1"/>
    <xf numFmtId="0" fontId="7" fillId="6" borderId="0" xfId="0" applyFont="1" applyFill="1"/>
    <xf numFmtId="0" fontId="0" fillId="6" borderId="0" xfId="0" applyFill="1"/>
    <xf numFmtId="0" fontId="0" fillId="0" borderId="0" xfId="0" applyAlignment="1">
      <alignment vertical="top" wrapText="1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B9BD5"/>
  </sheetPr>
  <dimension ref="A1:H32"/>
  <sheetViews>
    <sheetView showGridLines="0" topLeftCell="A3" workbookViewId="0">
      <selection activeCell="A10" sqref="A10:H10"/>
    </sheetView>
  </sheetViews>
  <sheetFormatPr defaultRowHeight="15" x14ac:dyDescent="0.25"/>
  <cols>
    <col min="1" max="1" width="25" customWidth="1"/>
    <col min="2" max="8" width="18" customWidth="1"/>
  </cols>
  <sheetData>
    <row r="1" spans="1:8" ht="26.25" x14ac:dyDescent="0.4">
      <c r="A1" s="23" t="s">
        <v>0</v>
      </c>
      <c r="B1" s="22"/>
      <c r="C1" s="22"/>
      <c r="D1" s="22"/>
      <c r="E1" s="22"/>
      <c r="F1" s="22"/>
      <c r="G1" s="22"/>
      <c r="H1" s="22"/>
    </row>
    <row r="2" spans="1:8" x14ac:dyDescent="0.25">
      <c r="A2" s="24"/>
      <c r="B2" s="25"/>
      <c r="C2" s="25"/>
      <c r="D2" s="25"/>
      <c r="E2" s="25"/>
      <c r="F2" s="25"/>
      <c r="G2" s="25"/>
      <c r="H2" s="25"/>
    </row>
    <row r="3" spans="1:8" ht="18.75" x14ac:dyDescent="0.3">
      <c r="A3" s="1" t="s">
        <v>1</v>
      </c>
    </row>
    <row r="4" spans="1:8" x14ac:dyDescent="0.25">
      <c r="A4" s="26" t="s">
        <v>2</v>
      </c>
      <c r="B4" s="22"/>
      <c r="C4" s="22"/>
      <c r="D4" s="22"/>
      <c r="E4" s="22"/>
      <c r="F4" s="22"/>
      <c r="G4" s="22"/>
      <c r="H4" s="22"/>
    </row>
    <row r="5" spans="1:8" x14ac:dyDescent="0.25">
      <c r="A5" s="22"/>
      <c r="B5" s="22"/>
      <c r="C5" s="22"/>
      <c r="D5" s="22"/>
      <c r="E5" s="22"/>
      <c r="F5" s="22"/>
      <c r="G5" s="22"/>
      <c r="H5" s="22"/>
    </row>
    <row r="7" spans="1:8" ht="18.75" x14ac:dyDescent="0.3">
      <c r="A7" s="1" t="s">
        <v>3</v>
      </c>
    </row>
    <row r="8" spans="1:8" x14ac:dyDescent="0.25">
      <c r="A8" s="22" t="s">
        <v>4</v>
      </c>
      <c r="B8" s="22"/>
      <c r="C8" s="22"/>
      <c r="D8" s="22"/>
      <c r="E8" s="22"/>
      <c r="F8" s="22"/>
      <c r="G8" s="22"/>
      <c r="H8" s="22"/>
    </row>
    <row r="9" spans="1:8" x14ac:dyDescent="0.25">
      <c r="A9" s="22" t="s">
        <v>5</v>
      </c>
      <c r="B9" s="22"/>
      <c r="C9" s="22"/>
      <c r="D9" s="22"/>
      <c r="E9" s="22"/>
      <c r="F9" s="22"/>
      <c r="G9" s="22"/>
      <c r="H9" s="22"/>
    </row>
    <row r="10" spans="1:8" x14ac:dyDescent="0.25">
      <c r="A10" s="22" t="s">
        <v>6</v>
      </c>
      <c r="B10" s="22"/>
      <c r="C10" s="22"/>
      <c r="D10" s="22"/>
      <c r="E10" s="22"/>
      <c r="F10" s="22"/>
      <c r="G10" s="22"/>
      <c r="H10" s="22"/>
    </row>
    <row r="11" spans="1:8" x14ac:dyDescent="0.25">
      <c r="A11" s="22" t="s">
        <v>7</v>
      </c>
      <c r="B11" s="22"/>
      <c r="C11" s="22"/>
      <c r="D11" s="22"/>
      <c r="E11" s="22"/>
      <c r="F11" s="22"/>
      <c r="G11" s="22"/>
      <c r="H11" s="22"/>
    </row>
    <row r="12" spans="1:8" x14ac:dyDescent="0.25">
      <c r="A12" s="22" t="s">
        <v>8</v>
      </c>
      <c r="B12" s="22"/>
      <c r="C12" s="22"/>
      <c r="D12" s="22"/>
      <c r="E12" s="22"/>
      <c r="F12" s="22"/>
      <c r="G12" s="22"/>
      <c r="H12" s="22"/>
    </row>
    <row r="15" spans="1:8" ht="18.75" x14ac:dyDescent="0.3">
      <c r="A15" s="1" t="s">
        <v>9</v>
      </c>
    </row>
    <row r="16" spans="1:8" x14ac:dyDescent="0.25">
      <c r="A16" s="22" t="s">
        <v>10</v>
      </c>
      <c r="B16" s="22"/>
      <c r="C16" s="22"/>
      <c r="D16" s="22"/>
      <c r="E16" s="22"/>
      <c r="F16" s="22"/>
      <c r="G16" s="22"/>
      <c r="H16" s="22"/>
    </row>
    <row r="17" spans="1:8" x14ac:dyDescent="0.25">
      <c r="A17" s="22" t="s">
        <v>11</v>
      </c>
      <c r="B17" s="22"/>
      <c r="C17" s="22"/>
      <c r="D17" s="22"/>
      <c r="E17" s="22"/>
      <c r="F17" s="22"/>
      <c r="G17" s="22"/>
      <c r="H17" s="22"/>
    </row>
    <row r="18" spans="1:8" x14ac:dyDescent="0.25">
      <c r="A18" s="22" t="s">
        <v>12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22" t="s">
        <v>13</v>
      </c>
      <c r="B19" s="22"/>
      <c r="C19" s="22"/>
      <c r="D19" s="22"/>
      <c r="E19" s="22"/>
      <c r="F19" s="22"/>
      <c r="G19" s="22"/>
      <c r="H19" s="22"/>
    </row>
    <row r="20" spans="1:8" x14ac:dyDescent="0.25">
      <c r="A20" s="22" t="s">
        <v>14</v>
      </c>
      <c r="B20" s="22"/>
      <c r="C20" s="22"/>
      <c r="D20" s="22"/>
      <c r="E20" s="22"/>
      <c r="F20" s="22"/>
      <c r="G20" s="22"/>
      <c r="H20" s="22"/>
    </row>
    <row r="23" spans="1:8" ht="18.75" x14ac:dyDescent="0.3">
      <c r="A23" s="1" t="s">
        <v>15</v>
      </c>
    </row>
    <row r="24" spans="1:8" x14ac:dyDescent="0.25">
      <c r="A24" s="2" t="s">
        <v>16</v>
      </c>
      <c r="B24" s="22" t="s">
        <v>17</v>
      </c>
      <c r="C24" s="22"/>
      <c r="D24" s="22"/>
      <c r="E24" s="22"/>
      <c r="F24" s="22"/>
      <c r="G24" s="22"/>
      <c r="H24" s="22"/>
    </row>
    <row r="25" spans="1:8" x14ac:dyDescent="0.25">
      <c r="A25" s="2" t="s">
        <v>18</v>
      </c>
      <c r="B25" s="22" t="s">
        <v>19</v>
      </c>
      <c r="C25" s="22"/>
      <c r="D25" s="22"/>
      <c r="E25" s="22"/>
      <c r="F25" s="22"/>
      <c r="G25" s="22"/>
      <c r="H25" s="22"/>
    </row>
    <row r="26" spans="1:8" x14ac:dyDescent="0.25">
      <c r="A26" s="2" t="s">
        <v>20</v>
      </c>
      <c r="B26" s="22" t="s">
        <v>21</v>
      </c>
      <c r="C26" s="22"/>
      <c r="D26" s="22"/>
      <c r="E26" s="22"/>
      <c r="F26" s="22"/>
      <c r="G26" s="22"/>
      <c r="H26" s="22"/>
    </row>
    <row r="27" spans="1:8" x14ac:dyDescent="0.25">
      <c r="A27" s="2" t="s">
        <v>22</v>
      </c>
      <c r="B27" s="22" t="s">
        <v>23</v>
      </c>
      <c r="C27" s="22"/>
      <c r="D27" s="22"/>
      <c r="E27" s="22"/>
      <c r="F27" s="22"/>
      <c r="G27" s="22"/>
      <c r="H27" s="22"/>
    </row>
    <row r="28" spans="1:8" x14ac:dyDescent="0.25">
      <c r="A28" s="2" t="s">
        <v>24</v>
      </c>
      <c r="B28" s="22" t="s">
        <v>25</v>
      </c>
      <c r="C28" s="22"/>
      <c r="D28" s="22"/>
      <c r="E28" s="22"/>
      <c r="F28" s="22"/>
      <c r="G28" s="22"/>
      <c r="H28" s="22"/>
    </row>
    <row r="29" spans="1:8" x14ac:dyDescent="0.25">
      <c r="A29" s="2" t="s">
        <v>26</v>
      </c>
      <c r="B29" s="22" t="s">
        <v>27</v>
      </c>
      <c r="C29" s="22"/>
      <c r="D29" s="22"/>
      <c r="E29" s="22"/>
      <c r="F29" s="22"/>
      <c r="G29" s="22"/>
      <c r="H29" s="22"/>
    </row>
    <row r="30" spans="1:8" x14ac:dyDescent="0.25">
      <c r="A30" s="2" t="s">
        <v>28</v>
      </c>
      <c r="B30" s="22" t="s">
        <v>29</v>
      </c>
      <c r="C30" s="22"/>
      <c r="D30" s="22"/>
      <c r="E30" s="22"/>
      <c r="F30" s="22"/>
      <c r="G30" s="22"/>
      <c r="H30" s="22"/>
    </row>
    <row r="31" spans="1:8" x14ac:dyDescent="0.25">
      <c r="A31" s="2" t="s">
        <v>30</v>
      </c>
      <c r="B31" s="22" t="s">
        <v>31</v>
      </c>
      <c r="C31" s="22"/>
      <c r="D31" s="22"/>
      <c r="E31" s="22"/>
      <c r="F31" s="22"/>
      <c r="G31" s="22"/>
      <c r="H31" s="22"/>
    </row>
    <row r="32" spans="1:8" x14ac:dyDescent="0.25">
      <c r="A32" s="2" t="s">
        <v>32</v>
      </c>
      <c r="B32" s="22" t="s">
        <v>33</v>
      </c>
      <c r="C32" s="22"/>
      <c r="D32" s="22"/>
      <c r="E32" s="22"/>
      <c r="F32" s="22"/>
      <c r="G32" s="22"/>
      <c r="H32" s="22"/>
    </row>
  </sheetData>
  <mergeCells count="22">
    <mergeCell ref="B32:H32"/>
    <mergeCell ref="A4:H5"/>
    <mergeCell ref="B26:H26"/>
    <mergeCell ref="A16:H16"/>
    <mergeCell ref="B25:H25"/>
    <mergeCell ref="B31:H31"/>
    <mergeCell ref="A12:H12"/>
    <mergeCell ref="A18:H18"/>
    <mergeCell ref="B27:H27"/>
    <mergeCell ref="A8:H8"/>
    <mergeCell ref="A17:H17"/>
    <mergeCell ref="A20:H20"/>
    <mergeCell ref="A10:H10"/>
    <mergeCell ref="A19:H19"/>
    <mergeCell ref="B29:H29"/>
    <mergeCell ref="B28:H28"/>
    <mergeCell ref="A9:H9"/>
    <mergeCell ref="B24:H24"/>
    <mergeCell ref="B30:H30"/>
    <mergeCell ref="A11:H11"/>
    <mergeCell ref="A1:H1"/>
    <mergeCell ref="A2:H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9BD5"/>
  </sheetPr>
  <dimension ref="A1:B1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8" customWidth="1"/>
    <col min="2" max="2" width="95" customWidth="1"/>
  </cols>
  <sheetData>
    <row r="1" spans="1:2" ht="27.95" customHeight="1" x14ac:dyDescent="0.25">
      <c r="A1" s="3" t="s">
        <v>39</v>
      </c>
      <c r="B1" s="3" t="s">
        <v>40</v>
      </c>
    </row>
    <row r="2" spans="1:2" x14ac:dyDescent="0.25">
      <c r="A2" t="s">
        <v>41</v>
      </c>
      <c r="B2" t="s">
        <v>42</v>
      </c>
    </row>
    <row r="3" spans="1:2" x14ac:dyDescent="0.25">
      <c r="A3" t="s">
        <v>43</v>
      </c>
      <c r="B3" t="s">
        <v>44</v>
      </c>
    </row>
    <row r="4" spans="1:2" x14ac:dyDescent="0.25">
      <c r="A4" t="s">
        <v>45</v>
      </c>
      <c r="B4" t="s">
        <v>46</v>
      </c>
    </row>
    <row r="5" spans="1:2" x14ac:dyDescent="0.25">
      <c r="A5" t="s">
        <v>47</v>
      </c>
      <c r="B5" t="s">
        <v>48</v>
      </c>
    </row>
    <row r="6" spans="1:2" x14ac:dyDescent="0.25">
      <c r="A6" t="s">
        <v>49</v>
      </c>
      <c r="B6" t="s">
        <v>50</v>
      </c>
    </row>
    <row r="7" spans="1:2" x14ac:dyDescent="0.25">
      <c r="A7" t="s">
        <v>51</v>
      </c>
      <c r="B7" t="s">
        <v>52</v>
      </c>
    </row>
    <row r="8" spans="1:2" x14ac:dyDescent="0.25">
      <c r="A8" t="s">
        <v>53</v>
      </c>
      <c r="B8" t="s">
        <v>54</v>
      </c>
    </row>
    <row r="9" spans="1:2" x14ac:dyDescent="0.25">
      <c r="A9" t="s">
        <v>55</v>
      </c>
      <c r="B9" t="s">
        <v>56</v>
      </c>
    </row>
    <row r="10" spans="1:2" x14ac:dyDescent="0.25">
      <c r="A10" t="s">
        <v>57</v>
      </c>
      <c r="B10" t="s">
        <v>58</v>
      </c>
    </row>
    <row r="11" spans="1:2" x14ac:dyDescent="0.25">
      <c r="A11" t="s">
        <v>59</v>
      </c>
      <c r="B11" t="s">
        <v>60</v>
      </c>
    </row>
    <row r="12" spans="1:2" x14ac:dyDescent="0.25">
      <c r="A12" t="s">
        <v>61</v>
      </c>
      <c r="B12" t="s">
        <v>62</v>
      </c>
    </row>
    <row r="13" spans="1:2" x14ac:dyDescent="0.25">
      <c r="A13" t="s">
        <v>63</v>
      </c>
      <c r="B13" t="s">
        <v>64</v>
      </c>
    </row>
    <row r="14" spans="1:2" x14ac:dyDescent="0.25">
      <c r="A14" t="s">
        <v>65</v>
      </c>
      <c r="B14" t="s">
        <v>66</v>
      </c>
    </row>
    <row r="15" spans="1:2" x14ac:dyDescent="0.25">
      <c r="A15" t="s">
        <v>67</v>
      </c>
      <c r="B15" t="s">
        <v>68</v>
      </c>
    </row>
    <row r="16" spans="1:2" x14ac:dyDescent="0.25">
      <c r="A16" t="s">
        <v>69</v>
      </c>
      <c r="B16" t="s">
        <v>70</v>
      </c>
    </row>
    <row r="17" spans="1:2" x14ac:dyDescent="0.25">
      <c r="A17" t="s">
        <v>71</v>
      </c>
      <c r="B17" t="s">
        <v>72</v>
      </c>
    </row>
    <row r="18" spans="1:2" x14ac:dyDescent="0.25">
      <c r="A18" t="s">
        <v>73</v>
      </c>
      <c r="B18" t="s">
        <v>74</v>
      </c>
    </row>
  </sheetData>
  <autoFilter ref="A1:B18" xr:uid="{00000000-0009-0000-0000-000002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9BD5"/>
  </sheetPr>
  <dimension ref="A1:E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2" width="33" customWidth="1"/>
    <col min="3" max="3" width="16" customWidth="1"/>
    <col min="4" max="4" width="18" customWidth="1"/>
    <col min="5" max="5" width="35" customWidth="1"/>
  </cols>
  <sheetData>
    <row r="1" spans="1:5" ht="27.95" customHeight="1" x14ac:dyDescent="0.25">
      <c r="A1" s="3" t="s">
        <v>75</v>
      </c>
      <c r="B1" s="3" t="s">
        <v>76</v>
      </c>
      <c r="C1" s="3" t="s">
        <v>77</v>
      </c>
      <c r="D1" s="3" t="s">
        <v>78</v>
      </c>
      <c r="E1" s="3" t="s">
        <v>79</v>
      </c>
    </row>
    <row r="2" spans="1:5" x14ac:dyDescent="0.25">
      <c r="A2" t="s">
        <v>80</v>
      </c>
      <c r="B2" t="s">
        <v>81</v>
      </c>
      <c r="C2" s="4">
        <v>42</v>
      </c>
      <c r="D2" t="s">
        <v>82</v>
      </c>
      <c r="E2" t="s">
        <v>83</v>
      </c>
    </row>
    <row r="3" spans="1:5" x14ac:dyDescent="0.25">
      <c r="A3" t="s">
        <v>80</v>
      </c>
      <c r="B3" t="s">
        <v>84</v>
      </c>
      <c r="C3" s="5">
        <v>2.5000000000000001E-2</v>
      </c>
      <c r="D3" t="s">
        <v>85</v>
      </c>
      <c r="E3" t="s">
        <v>86</v>
      </c>
    </row>
    <row r="4" spans="1:5" x14ac:dyDescent="0.25">
      <c r="A4" t="s">
        <v>80</v>
      </c>
      <c r="B4" t="s">
        <v>87</v>
      </c>
      <c r="C4" s="4">
        <v>0.82</v>
      </c>
      <c r="D4" t="s">
        <v>88</v>
      </c>
      <c r="E4" t="s">
        <v>89</v>
      </c>
    </row>
    <row r="5" spans="1:5" x14ac:dyDescent="0.25">
      <c r="A5" t="s">
        <v>80</v>
      </c>
      <c r="B5" t="s">
        <v>90</v>
      </c>
      <c r="C5" s="5">
        <v>0.04</v>
      </c>
      <c r="D5" t="s">
        <v>85</v>
      </c>
      <c r="E5" t="s">
        <v>91</v>
      </c>
    </row>
    <row r="6" spans="1:5" x14ac:dyDescent="0.25">
      <c r="A6" t="s">
        <v>80</v>
      </c>
      <c r="B6" t="s">
        <v>92</v>
      </c>
      <c r="C6" s="5">
        <v>0.22</v>
      </c>
      <c r="D6" t="s">
        <v>93</v>
      </c>
      <c r="E6" t="s">
        <v>94</v>
      </c>
    </row>
    <row r="7" spans="1:5" x14ac:dyDescent="0.25">
      <c r="A7" t="s">
        <v>80</v>
      </c>
      <c r="B7" t="s">
        <v>95</v>
      </c>
      <c r="C7" s="4">
        <v>0.16</v>
      </c>
      <c r="D7" t="s">
        <v>96</v>
      </c>
      <c r="E7" t="s">
        <v>97</v>
      </c>
    </row>
    <row r="8" spans="1:5" x14ac:dyDescent="0.25">
      <c r="A8" t="s">
        <v>80</v>
      </c>
      <c r="B8" t="s">
        <v>98</v>
      </c>
      <c r="C8" s="4">
        <v>92</v>
      </c>
      <c r="D8" t="s">
        <v>99</v>
      </c>
      <c r="E8" t="s">
        <v>100</v>
      </c>
    </row>
    <row r="9" spans="1:5" x14ac:dyDescent="0.25">
      <c r="A9" t="s">
        <v>80</v>
      </c>
      <c r="B9" t="s">
        <v>101</v>
      </c>
      <c r="C9" s="4">
        <v>140</v>
      </c>
      <c r="D9" t="s">
        <v>99</v>
      </c>
      <c r="E9" t="s">
        <v>102</v>
      </c>
    </row>
    <row r="10" spans="1:5" x14ac:dyDescent="0.25">
      <c r="A10" t="s">
        <v>80</v>
      </c>
      <c r="B10" t="s">
        <v>103</v>
      </c>
      <c r="C10" s="4">
        <v>55</v>
      </c>
      <c r="D10" t="s">
        <v>99</v>
      </c>
      <c r="E10" t="s">
        <v>104</v>
      </c>
    </row>
    <row r="11" spans="1:5" x14ac:dyDescent="0.25">
      <c r="A11" t="s">
        <v>80</v>
      </c>
      <c r="B11" t="s">
        <v>105</v>
      </c>
      <c r="C11" s="4">
        <v>68</v>
      </c>
      <c r="D11" t="s">
        <v>99</v>
      </c>
      <c r="E11" t="s">
        <v>106</v>
      </c>
    </row>
    <row r="12" spans="1:5" x14ac:dyDescent="0.25">
      <c r="A12" t="s">
        <v>80</v>
      </c>
      <c r="B12" t="s">
        <v>107</v>
      </c>
      <c r="C12" s="4">
        <v>55</v>
      </c>
      <c r="D12" t="s">
        <v>88</v>
      </c>
      <c r="E12" t="s">
        <v>108</v>
      </c>
    </row>
    <row r="13" spans="1:5" x14ac:dyDescent="0.25">
      <c r="A13" t="s">
        <v>80</v>
      </c>
      <c r="B13" t="s">
        <v>67</v>
      </c>
      <c r="C13" s="4">
        <v>48</v>
      </c>
      <c r="D13" t="s">
        <v>99</v>
      </c>
      <c r="E13" t="s">
        <v>109</v>
      </c>
    </row>
    <row r="14" spans="1:5" x14ac:dyDescent="0.25">
      <c r="A14" t="s">
        <v>80</v>
      </c>
      <c r="B14" t="s">
        <v>110</v>
      </c>
      <c r="C14" s="4">
        <v>1580</v>
      </c>
      <c r="D14" t="s">
        <v>88</v>
      </c>
      <c r="E14" t="s">
        <v>111</v>
      </c>
    </row>
    <row r="15" spans="1:5" x14ac:dyDescent="0.25">
      <c r="A15" t="s">
        <v>34</v>
      </c>
      <c r="B15" t="s">
        <v>112</v>
      </c>
      <c r="C15" s="4">
        <v>1</v>
      </c>
      <c r="D15" t="s">
        <v>113</v>
      </c>
      <c r="E15" t="s">
        <v>114</v>
      </c>
    </row>
    <row r="16" spans="1:5" x14ac:dyDescent="0.25">
      <c r="A16" t="s">
        <v>34</v>
      </c>
      <c r="B16" t="s">
        <v>115</v>
      </c>
      <c r="C16" s="4">
        <v>1</v>
      </c>
      <c r="D16" t="s">
        <v>116</v>
      </c>
      <c r="E16" t="s">
        <v>114</v>
      </c>
    </row>
    <row r="17" spans="1:5" x14ac:dyDescent="0.25">
      <c r="A17" t="s">
        <v>34</v>
      </c>
      <c r="B17" t="s">
        <v>117</v>
      </c>
      <c r="C17" s="4">
        <v>1</v>
      </c>
      <c r="D17" t="s">
        <v>118</v>
      </c>
      <c r="E17" t="s">
        <v>114</v>
      </c>
    </row>
    <row r="18" spans="1:5" x14ac:dyDescent="0.25">
      <c r="A18" t="s">
        <v>34</v>
      </c>
      <c r="B18" t="s">
        <v>119</v>
      </c>
      <c r="C18" s="4">
        <v>0.97</v>
      </c>
      <c r="D18" t="s">
        <v>113</v>
      </c>
      <c r="E18" t="s">
        <v>120</v>
      </c>
    </row>
    <row r="19" spans="1:5" x14ac:dyDescent="0.25">
      <c r="A19" t="s">
        <v>35</v>
      </c>
      <c r="B19" t="s">
        <v>112</v>
      </c>
      <c r="C19" s="4">
        <v>1.1499999999999999</v>
      </c>
      <c r="D19" t="s">
        <v>113</v>
      </c>
      <c r="E19" t="s">
        <v>114</v>
      </c>
    </row>
    <row r="20" spans="1:5" x14ac:dyDescent="0.25">
      <c r="A20" t="s">
        <v>35</v>
      </c>
      <c r="B20" t="s">
        <v>115</v>
      </c>
      <c r="C20" s="4">
        <v>0.9</v>
      </c>
      <c r="D20" t="s">
        <v>116</v>
      </c>
      <c r="E20" t="s">
        <v>114</v>
      </c>
    </row>
    <row r="21" spans="1:5" x14ac:dyDescent="0.25">
      <c r="A21" t="s">
        <v>35</v>
      </c>
      <c r="B21" t="s">
        <v>117</v>
      </c>
      <c r="C21" s="4">
        <v>1.02</v>
      </c>
      <c r="D21" t="s">
        <v>118</v>
      </c>
      <c r="E21" t="s">
        <v>114</v>
      </c>
    </row>
    <row r="22" spans="1:5" x14ac:dyDescent="0.25">
      <c r="A22" t="s">
        <v>35</v>
      </c>
      <c r="B22" t="s">
        <v>119</v>
      </c>
      <c r="C22" s="4">
        <v>1.03</v>
      </c>
      <c r="D22" t="s">
        <v>113</v>
      </c>
      <c r="E22" t="s">
        <v>121</v>
      </c>
    </row>
    <row r="23" spans="1:5" x14ac:dyDescent="0.25">
      <c r="A23" t="s">
        <v>36</v>
      </c>
      <c r="B23" t="s">
        <v>112</v>
      </c>
      <c r="C23" s="4">
        <v>0.82</v>
      </c>
      <c r="D23" t="s">
        <v>113</v>
      </c>
      <c r="E23" t="s">
        <v>114</v>
      </c>
    </row>
    <row r="24" spans="1:5" x14ac:dyDescent="0.25">
      <c r="A24" t="s">
        <v>36</v>
      </c>
      <c r="B24" t="s">
        <v>115</v>
      </c>
      <c r="C24" s="4">
        <v>1.18</v>
      </c>
      <c r="D24" t="s">
        <v>116</v>
      </c>
      <c r="E24" t="s">
        <v>114</v>
      </c>
    </row>
    <row r="25" spans="1:5" x14ac:dyDescent="0.25">
      <c r="A25" t="s">
        <v>36</v>
      </c>
      <c r="B25" t="s">
        <v>117</v>
      </c>
      <c r="C25" s="4">
        <v>0.98</v>
      </c>
      <c r="D25" t="s">
        <v>118</v>
      </c>
      <c r="E25" t="s">
        <v>114</v>
      </c>
    </row>
    <row r="26" spans="1:5" x14ac:dyDescent="0.25">
      <c r="A26" t="s">
        <v>36</v>
      </c>
      <c r="B26" t="s">
        <v>119</v>
      </c>
      <c r="C26" s="4">
        <v>0.92</v>
      </c>
      <c r="D26" t="s">
        <v>113</v>
      </c>
      <c r="E26" t="s">
        <v>122</v>
      </c>
    </row>
  </sheetData>
  <autoFilter ref="A1:E26" xr:uid="{00000000-0009-0000-0000-000003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AD47"/>
  </sheetPr>
  <dimension ref="A1:Y25"/>
  <sheetViews>
    <sheetView showGridLines="0" workbookViewId="0">
      <pane xSplit="7" ySplit="1" topLeftCell="H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" customWidth="1"/>
    <col min="2" max="25" width="18" customWidth="1"/>
  </cols>
  <sheetData>
    <row r="1" spans="1:25" ht="27.95" customHeight="1" x14ac:dyDescent="0.25">
      <c r="A1" s="3" t="s">
        <v>123</v>
      </c>
      <c r="B1" s="3" t="s">
        <v>124</v>
      </c>
      <c r="C1" s="3" t="s">
        <v>125</v>
      </c>
      <c r="D1" s="3" t="s">
        <v>126</v>
      </c>
      <c r="E1" s="3" t="s">
        <v>127</v>
      </c>
      <c r="F1" s="3" t="s">
        <v>37</v>
      </c>
      <c r="G1" s="3" t="s">
        <v>128</v>
      </c>
      <c r="H1" s="3" t="s">
        <v>129</v>
      </c>
      <c r="I1" s="3" t="s">
        <v>95</v>
      </c>
      <c r="J1" s="3" t="s">
        <v>130</v>
      </c>
      <c r="K1" s="3" t="s">
        <v>131</v>
      </c>
      <c r="L1" s="3" t="s">
        <v>132</v>
      </c>
      <c r="M1" s="3" t="s">
        <v>133</v>
      </c>
      <c r="N1" s="3" t="s">
        <v>134</v>
      </c>
      <c r="O1" s="3" t="s">
        <v>135</v>
      </c>
      <c r="P1" s="3" t="s">
        <v>136</v>
      </c>
      <c r="Q1" s="3" t="s">
        <v>137</v>
      </c>
      <c r="R1" s="3" t="s">
        <v>138</v>
      </c>
      <c r="S1" s="3" t="s">
        <v>139</v>
      </c>
      <c r="T1" s="3" t="s">
        <v>67</v>
      </c>
      <c r="U1" s="3" t="s">
        <v>140</v>
      </c>
      <c r="V1" s="3" t="s">
        <v>141</v>
      </c>
      <c r="W1" s="3" t="s">
        <v>142</v>
      </c>
      <c r="X1" s="3" t="s">
        <v>143</v>
      </c>
      <c r="Y1" s="3" t="s">
        <v>144</v>
      </c>
    </row>
    <row r="2" spans="1:25" x14ac:dyDescent="0.25">
      <c r="A2" s="6">
        <v>45292</v>
      </c>
      <c r="B2">
        <v>1180</v>
      </c>
      <c r="C2">
        <v>30</v>
      </c>
      <c r="D2">
        <v>32</v>
      </c>
      <c r="E2" s="7">
        <v>2.7053082625426741E-2</v>
      </c>
      <c r="F2">
        <v>1178</v>
      </c>
      <c r="G2" s="8">
        <v>0.76556826119773935</v>
      </c>
      <c r="H2" s="8">
        <v>926.60497995213473</v>
      </c>
      <c r="I2" s="8">
        <v>148.25679679234159</v>
      </c>
      <c r="J2" s="8">
        <v>73</v>
      </c>
      <c r="K2" s="8">
        <v>221.25679679234159</v>
      </c>
      <c r="L2" s="8">
        <v>705.34818315979317</v>
      </c>
      <c r="M2">
        <v>18</v>
      </c>
      <c r="N2">
        <v>25</v>
      </c>
      <c r="O2">
        <v>10</v>
      </c>
      <c r="P2" s="8">
        <v>258.53637932024537</v>
      </c>
      <c r="Q2" s="8">
        <v>256.5</v>
      </c>
      <c r="R2" s="8">
        <v>141.4</v>
      </c>
      <c r="S2" s="8">
        <v>48.911803839547758</v>
      </c>
      <c r="T2" s="8">
        <v>38</v>
      </c>
      <c r="U2" s="8">
        <v>10.91180383954776</v>
      </c>
      <c r="V2" s="8">
        <v>12</v>
      </c>
      <c r="W2" s="8">
        <v>0</v>
      </c>
      <c r="X2" s="8">
        <v>-1.0881961604522421</v>
      </c>
      <c r="Y2" s="8">
        <v>42</v>
      </c>
    </row>
    <row r="3" spans="1:25" x14ac:dyDescent="0.25">
      <c r="A3" s="6">
        <v>45323</v>
      </c>
      <c r="B3">
        <v>1178</v>
      </c>
      <c r="C3">
        <v>32</v>
      </c>
      <c r="D3">
        <v>28</v>
      </c>
      <c r="E3" s="7">
        <v>2.417435705243845E-2</v>
      </c>
      <c r="F3">
        <v>1182</v>
      </c>
      <c r="G3" s="8">
        <v>0.758973965123935</v>
      </c>
      <c r="H3" s="8">
        <v>919.98927884624322</v>
      </c>
      <c r="I3" s="8">
        <v>147.1982846153989</v>
      </c>
      <c r="J3" s="8">
        <v>73.5</v>
      </c>
      <c r="K3" s="8">
        <v>220.6982846153989</v>
      </c>
      <c r="L3" s="8">
        <v>699.29099423084426</v>
      </c>
      <c r="M3">
        <v>18</v>
      </c>
      <c r="N3">
        <v>25</v>
      </c>
      <c r="O3">
        <v>10</v>
      </c>
      <c r="P3" s="8">
        <v>258.64064791698792</v>
      </c>
      <c r="Q3" s="8">
        <v>256.95</v>
      </c>
      <c r="R3" s="8">
        <v>141.80000000000001</v>
      </c>
      <c r="S3" s="8">
        <v>41.900346313856431</v>
      </c>
      <c r="T3" s="8">
        <v>38.35</v>
      </c>
      <c r="U3" s="8">
        <v>3.55034631385643</v>
      </c>
      <c r="V3" s="8">
        <v>12</v>
      </c>
      <c r="W3" s="8">
        <v>0</v>
      </c>
      <c r="X3" s="8">
        <v>-8.44965368614357</v>
      </c>
      <c r="Y3" s="8">
        <v>42</v>
      </c>
    </row>
    <row r="4" spans="1:25" x14ac:dyDescent="0.25">
      <c r="A4" s="6">
        <v>45352</v>
      </c>
      <c r="B4">
        <v>1182</v>
      </c>
      <c r="C4">
        <v>37</v>
      </c>
      <c r="D4">
        <v>30</v>
      </c>
      <c r="E4" s="7">
        <v>2.5299844863766529E-2</v>
      </c>
      <c r="F4">
        <v>1189</v>
      </c>
      <c r="G4" s="8">
        <v>0.7641113743097766</v>
      </c>
      <c r="H4" s="8">
        <v>930.65403424424017</v>
      </c>
      <c r="I4" s="8">
        <v>148.9046454790784</v>
      </c>
      <c r="J4" s="8">
        <v>74</v>
      </c>
      <c r="K4" s="8">
        <v>222.9046454790784</v>
      </c>
      <c r="L4" s="8">
        <v>707.74938876516171</v>
      </c>
      <c r="M4">
        <v>18</v>
      </c>
      <c r="N4">
        <v>25</v>
      </c>
      <c r="O4">
        <v>10</v>
      </c>
      <c r="P4" s="8">
        <v>265.74221905935082</v>
      </c>
      <c r="Q4" s="8">
        <v>257.39999999999998</v>
      </c>
      <c r="R4" s="8">
        <v>142.19999999999999</v>
      </c>
      <c r="S4" s="8">
        <v>42.407169705810929</v>
      </c>
      <c r="T4" s="8">
        <v>38.700000000000003</v>
      </c>
      <c r="U4" s="8">
        <v>3.707169705810927</v>
      </c>
      <c r="V4" s="8">
        <v>12</v>
      </c>
      <c r="W4" s="8">
        <v>0</v>
      </c>
      <c r="X4" s="8">
        <v>-8.2928302941890735</v>
      </c>
      <c r="Y4" s="8">
        <v>60</v>
      </c>
    </row>
    <row r="5" spans="1:25" x14ac:dyDescent="0.25">
      <c r="A5" s="6">
        <v>45383</v>
      </c>
      <c r="B5">
        <v>1189</v>
      </c>
      <c r="C5">
        <v>40</v>
      </c>
      <c r="D5">
        <v>35</v>
      </c>
      <c r="E5" s="7">
        <v>2.977561648974179E-2</v>
      </c>
      <c r="F5">
        <v>1194</v>
      </c>
      <c r="G5" s="8">
        <v>0.76715074086487312</v>
      </c>
      <c r="H5" s="8">
        <v>939.26010774049632</v>
      </c>
      <c r="I5" s="8">
        <v>150.28161723847941</v>
      </c>
      <c r="J5" s="8">
        <v>74.5</v>
      </c>
      <c r="K5" s="8">
        <v>224.78161723847941</v>
      </c>
      <c r="L5" s="8">
        <v>714.47849050201694</v>
      </c>
      <c r="M5">
        <v>18</v>
      </c>
      <c r="N5">
        <v>25</v>
      </c>
      <c r="O5">
        <v>10</v>
      </c>
      <c r="P5" s="8">
        <v>270.67740910575702</v>
      </c>
      <c r="Q5" s="8">
        <v>257.85000000000002</v>
      </c>
      <c r="R5" s="8">
        <v>142.6</v>
      </c>
      <c r="S5" s="8">
        <v>43.351081396259957</v>
      </c>
      <c r="T5" s="8">
        <v>39.049999999999997</v>
      </c>
      <c r="U5" s="8">
        <v>4.3010813962599599</v>
      </c>
      <c r="V5" s="8">
        <v>12</v>
      </c>
      <c r="W5" s="8">
        <v>0</v>
      </c>
      <c r="X5" s="8">
        <v>-7.6989186037400401</v>
      </c>
      <c r="Y5" s="8">
        <v>42</v>
      </c>
    </row>
    <row r="6" spans="1:25" x14ac:dyDescent="0.25">
      <c r="A6" s="6">
        <v>45413</v>
      </c>
      <c r="B6">
        <v>1194</v>
      </c>
      <c r="C6">
        <v>42</v>
      </c>
      <c r="D6">
        <v>34</v>
      </c>
      <c r="E6" s="7">
        <v>2.8622006513773009E-2</v>
      </c>
      <c r="F6">
        <v>1202</v>
      </c>
      <c r="G6" s="8">
        <v>0.76304709137091664</v>
      </c>
      <c r="H6" s="8">
        <v>939.73041546235811</v>
      </c>
      <c r="I6" s="8">
        <v>150.35686647397731</v>
      </c>
      <c r="J6" s="8">
        <v>75</v>
      </c>
      <c r="K6" s="8">
        <v>225.35686647397731</v>
      </c>
      <c r="L6" s="8">
        <v>714.37354898838078</v>
      </c>
      <c r="M6">
        <v>18</v>
      </c>
      <c r="N6">
        <v>25</v>
      </c>
      <c r="O6">
        <v>10</v>
      </c>
      <c r="P6" s="8">
        <v>267.14250434917068</v>
      </c>
      <c r="Q6" s="8">
        <v>258.3</v>
      </c>
      <c r="R6" s="8">
        <v>143</v>
      </c>
      <c r="S6" s="8">
        <v>45.931044639210029</v>
      </c>
      <c r="T6" s="8">
        <v>39.4</v>
      </c>
      <c r="U6" s="8">
        <v>6.5310446392100303</v>
      </c>
      <c r="V6" s="8">
        <v>12</v>
      </c>
      <c r="W6" s="8">
        <v>0</v>
      </c>
      <c r="X6" s="8">
        <v>-5.4689553607899697</v>
      </c>
      <c r="Y6" s="8">
        <v>42</v>
      </c>
    </row>
    <row r="7" spans="1:25" x14ac:dyDescent="0.25">
      <c r="A7" s="6">
        <v>45444</v>
      </c>
      <c r="B7">
        <v>1202</v>
      </c>
      <c r="C7">
        <v>38</v>
      </c>
      <c r="D7">
        <v>36</v>
      </c>
      <c r="E7" s="7">
        <v>2.9590437403955221E-2</v>
      </c>
      <c r="F7">
        <v>1204</v>
      </c>
      <c r="G7" s="8">
        <v>0.77005983750911533</v>
      </c>
      <c r="H7" s="8">
        <v>952.38198452346569</v>
      </c>
      <c r="I7" s="8">
        <v>152.38111752375451</v>
      </c>
      <c r="J7" s="8">
        <v>75.5</v>
      </c>
      <c r="K7" s="8">
        <v>227.88111752375451</v>
      </c>
      <c r="L7" s="8">
        <v>724.50086699971121</v>
      </c>
      <c r="M7">
        <v>18</v>
      </c>
      <c r="N7">
        <v>25</v>
      </c>
      <c r="O7">
        <v>10</v>
      </c>
      <c r="P7" s="8">
        <v>269.08804684579229</v>
      </c>
      <c r="Q7" s="8">
        <v>258.75</v>
      </c>
      <c r="R7" s="8">
        <v>143.4</v>
      </c>
      <c r="S7" s="8">
        <v>53.262820153918881</v>
      </c>
      <c r="T7" s="8">
        <v>39.75</v>
      </c>
      <c r="U7" s="8">
        <v>13.512820153918881</v>
      </c>
      <c r="V7" s="8">
        <v>12</v>
      </c>
      <c r="W7" s="8">
        <v>0.36307683694053139</v>
      </c>
      <c r="X7" s="8">
        <v>1.1497433169783491</v>
      </c>
      <c r="Y7" s="8">
        <v>42</v>
      </c>
    </row>
    <row r="8" spans="1:25" x14ac:dyDescent="0.25">
      <c r="A8" s="6">
        <v>45474</v>
      </c>
      <c r="B8">
        <v>1204</v>
      </c>
      <c r="C8">
        <v>37</v>
      </c>
      <c r="D8">
        <v>38</v>
      </c>
      <c r="E8" s="7">
        <v>3.1430829296705418E-2</v>
      </c>
      <c r="F8">
        <v>1203</v>
      </c>
      <c r="G8" s="8">
        <v>0.76647861395592753</v>
      </c>
      <c r="H8" s="8">
        <v>948.85701189595875</v>
      </c>
      <c r="I8" s="8">
        <v>151.81712190335341</v>
      </c>
      <c r="J8" s="8">
        <v>76</v>
      </c>
      <c r="K8" s="8">
        <v>227.81712190335341</v>
      </c>
      <c r="L8" s="8">
        <v>721.03988999260537</v>
      </c>
      <c r="M8">
        <v>18</v>
      </c>
      <c r="N8">
        <v>26</v>
      </c>
      <c r="O8">
        <v>10</v>
      </c>
      <c r="P8" s="8">
        <v>268.91464249292233</v>
      </c>
      <c r="Q8" s="8">
        <v>267.74</v>
      </c>
      <c r="R8" s="8">
        <v>143.80000000000001</v>
      </c>
      <c r="S8" s="8">
        <v>40.585247499683049</v>
      </c>
      <c r="T8" s="8">
        <v>40.1</v>
      </c>
      <c r="U8" s="8">
        <v>0.48524749968304798</v>
      </c>
      <c r="V8" s="8">
        <v>12</v>
      </c>
      <c r="W8" s="8">
        <v>0</v>
      </c>
      <c r="X8" s="8">
        <v>-11.51475250031695</v>
      </c>
      <c r="Y8" s="8">
        <v>42</v>
      </c>
    </row>
    <row r="9" spans="1:25" x14ac:dyDescent="0.25">
      <c r="A9" s="6">
        <v>45505</v>
      </c>
      <c r="B9">
        <v>1203</v>
      </c>
      <c r="C9">
        <v>38</v>
      </c>
      <c r="D9">
        <v>34</v>
      </c>
      <c r="E9" s="7">
        <v>2.8107239208280149E-2</v>
      </c>
      <c r="F9">
        <v>1207</v>
      </c>
      <c r="G9" s="8">
        <v>0.76768280546657042</v>
      </c>
      <c r="H9" s="8">
        <v>951.85778058721735</v>
      </c>
      <c r="I9" s="8">
        <v>152.2972448939548</v>
      </c>
      <c r="J9" s="8">
        <v>76.5</v>
      </c>
      <c r="K9" s="8">
        <v>228.7972448939548</v>
      </c>
      <c r="L9" s="8">
        <v>723.06053569326264</v>
      </c>
      <c r="M9">
        <v>18</v>
      </c>
      <c r="N9">
        <v>26</v>
      </c>
      <c r="O9">
        <v>10</v>
      </c>
      <c r="P9" s="8">
        <v>274.44020704180588</v>
      </c>
      <c r="Q9" s="8">
        <v>268.19</v>
      </c>
      <c r="R9" s="8">
        <v>144.19999999999999</v>
      </c>
      <c r="S9" s="8">
        <v>36.230328651456723</v>
      </c>
      <c r="T9" s="8">
        <v>40.450000000000003</v>
      </c>
      <c r="U9" s="8">
        <v>-4.2196713485432866</v>
      </c>
      <c r="V9" s="8">
        <v>12</v>
      </c>
      <c r="W9" s="8">
        <v>0</v>
      </c>
      <c r="X9" s="8">
        <v>-16.21967134854329</v>
      </c>
      <c r="Y9" s="8">
        <v>42</v>
      </c>
    </row>
    <row r="10" spans="1:25" x14ac:dyDescent="0.25">
      <c r="A10" s="6">
        <v>45536</v>
      </c>
      <c r="B10">
        <v>1207</v>
      </c>
      <c r="C10">
        <v>30</v>
      </c>
      <c r="D10">
        <v>29</v>
      </c>
      <c r="E10" s="7">
        <v>2.4285484928931979E-2</v>
      </c>
      <c r="F10">
        <v>1208</v>
      </c>
      <c r="G10" s="8">
        <v>0.76325613599091313</v>
      </c>
      <c r="H10" s="8">
        <v>948.83178420902766</v>
      </c>
      <c r="I10" s="8">
        <v>151.8130854734444</v>
      </c>
      <c r="J10" s="8">
        <v>77</v>
      </c>
      <c r="K10" s="8">
        <v>228.8130854734444</v>
      </c>
      <c r="L10" s="8">
        <v>720.01869873558326</v>
      </c>
      <c r="M10">
        <v>19</v>
      </c>
      <c r="N10">
        <v>26</v>
      </c>
      <c r="O10">
        <v>10</v>
      </c>
      <c r="P10" s="8">
        <v>276.78479428019551</v>
      </c>
      <c r="Q10" s="8">
        <v>268.64</v>
      </c>
      <c r="R10" s="8">
        <v>144.6</v>
      </c>
      <c r="S10" s="8">
        <v>29.99390445538782</v>
      </c>
      <c r="T10" s="8">
        <v>40.799999999999997</v>
      </c>
      <c r="U10" s="8">
        <v>-10.80609554461218</v>
      </c>
      <c r="V10" s="8">
        <v>12</v>
      </c>
      <c r="W10" s="8">
        <v>0</v>
      </c>
      <c r="X10" s="8">
        <v>-22.80609554461218</v>
      </c>
      <c r="Y10" s="8">
        <v>60</v>
      </c>
    </row>
    <row r="11" spans="1:25" x14ac:dyDescent="0.25">
      <c r="A11" s="6">
        <v>45566</v>
      </c>
      <c r="B11">
        <v>1208</v>
      </c>
      <c r="C11">
        <v>31</v>
      </c>
      <c r="D11">
        <v>30</v>
      </c>
      <c r="E11" s="7">
        <v>2.514375520333673E-2</v>
      </c>
      <c r="F11">
        <v>1209</v>
      </c>
      <c r="G11" s="8">
        <v>0.76395082187850161</v>
      </c>
      <c r="H11" s="8">
        <v>950.83456824016923</v>
      </c>
      <c r="I11" s="8">
        <v>152.13353091842711</v>
      </c>
      <c r="J11" s="8">
        <v>77.5</v>
      </c>
      <c r="K11" s="8">
        <v>229.63353091842711</v>
      </c>
      <c r="L11" s="8">
        <v>721.20103732174221</v>
      </c>
      <c r="M11">
        <v>19</v>
      </c>
      <c r="N11">
        <v>26</v>
      </c>
      <c r="O11">
        <v>10</v>
      </c>
      <c r="P11" s="8">
        <v>283.4771244177125</v>
      </c>
      <c r="Q11" s="8">
        <v>269.08999999999997</v>
      </c>
      <c r="R11" s="8">
        <v>145</v>
      </c>
      <c r="S11" s="8">
        <v>23.633912904029732</v>
      </c>
      <c r="T11" s="8">
        <v>41.15</v>
      </c>
      <c r="U11" s="8">
        <v>-17.516087095970271</v>
      </c>
      <c r="V11" s="8">
        <v>12</v>
      </c>
      <c r="W11" s="8">
        <v>0</v>
      </c>
      <c r="X11" s="8">
        <v>-29.516087095970271</v>
      </c>
      <c r="Y11" s="8">
        <v>42</v>
      </c>
    </row>
    <row r="12" spans="1:25" x14ac:dyDescent="0.25">
      <c r="A12" s="6">
        <v>45597</v>
      </c>
      <c r="B12">
        <v>1209</v>
      </c>
      <c r="C12">
        <v>33</v>
      </c>
      <c r="D12">
        <v>34</v>
      </c>
      <c r="E12" s="7">
        <v>2.8309971329391951E-2</v>
      </c>
      <c r="F12">
        <v>1208</v>
      </c>
      <c r="G12" s="8">
        <v>0.76845157507511963</v>
      </c>
      <c r="H12" s="8">
        <v>956.6737284782821</v>
      </c>
      <c r="I12" s="8">
        <v>153.06779655652511</v>
      </c>
      <c r="J12" s="8">
        <v>78</v>
      </c>
      <c r="K12" s="8">
        <v>231.06779655652511</v>
      </c>
      <c r="L12" s="8">
        <v>725.60593192175702</v>
      </c>
      <c r="M12">
        <v>19</v>
      </c>
      <c r="N12">
        <v>26</v>
      </c>
      <c r="O12">
        <v>10</v>
      </c>
      <c r="P12" s="8">
        <v>283.4232824123427</v>
      </c>
      <c r="Q12" s="8">
        <v>269.54000000000002</v>
      </c>
      <c r="R12" s="8">
        <v>145.4</v>
      </c>
      <c r="S12" s="8">
        <v>27.242649509414381</v>
      </c>
      <c r="T12" s="8">
        <v>41.5</v>
      </c>
      <c r="U12" s="8">
        <v>-14.257350490585621</v>
      </c>
      <c r="V12" s="8">
        <v>12</v>
      </c>
      <c r="W12" s="8">
        <v>0</v>
      </c>
      <c r="X12" s="8">
        <v>-26.257350490585619</v>
      </c>
      <c r="Y12" s="8">
        <v>42</v>
      </c>
    </row>
    <row r="13" spans="1:25" x14ac:dyDescent="0.25">
      <c r="A13" s="6">
        <v>45627</v>
      </c>
      <c r="B13">
        <v>1208</v>
      </c>
      <c r="C13">
        <v>31</v>
      </c>
      <c r="D13">
        <v>30</v>
      </c>
      <c r="E13" s="7">
        <v>2.455980818921474E-2</v>
      </c>
      <c r="F13">
        <v>1209</v>
      </c>
      <c r="G13" s="8">
        <v>0.76043868820029059</v>
      </c>
      <c r="H13" s="8">
        <v>947.39015469005119</v>
      </c>
      <c r="I13" s="8">
        <v>151.58242475040819</v>
      </c>
      <c r="J13" s="8">
        <v>78.5</v>
      </c>
      <c r="K13" s="8">
        <v>230.08242475040819</v>
      </c>
      <c r="L13" s="8">
        <v>717.30772993964297</v>
      </c>
      <c r="M13">
        <v>19</v>
      </c>
      <c r="N13">
        <v>26</v>
      </c>
      <c r="O13">
        <v>10</v>
      </c>
      <c r="P13" s="8">
        <v>283.14522161180008</v>
      </c>
      <c r="Q13" s="8">
        <v>269.99</v>
      </c>
      <c r="R13" s="8">
        <v>145.80000000000001</v>
      </c>
      <c r="S13" s="8">
        <v>18.37250832784289</v>
      </c>
      <c r="T13" s="8">
        <v>41.85</v>
      </c>
      <c r="U13" s="8">
        <v>-23.477491672157111</v>
      </c>
      <c r="V13" s="8">
        <v>12</v>
      </c>
      <c r="W13" s="8">
        <v>0</v>
      </c>
      <c r="X13" s="8">
        <v>-35.477491672157107</v>
      </c>
      <c r="Y13" s="8">
        <v>42</v>
      </c>
    </row>
    <row r="14" spans="1:25" x14ac:dyDescent="0.25">
      <c r="A14" s="6">
        <v>45658</v>
      </c>
      <c r="B14">
        <v>1209</v>
      </c>
      <c r="C14">
        <v>30</v>
      </c>
      <c r="D14">
        <v>33</v>
      </c>
      <c r="E14" s="7">
        <v>2.7229946075186421E-2</v>
      </c>
      <c r="F14">
        <v>1206</v>
      </c>
      <c r="G14" s="8">
        <v>0.79137819757627081</v>
      </c>
      <c r="H14" s="8">
        <v>984.38917357334697</v>
      </c>
      <c r="I14" s="8">
        <v>157.50226777173549</v>
      </c>
      <c r="J14" s="8">
        <v>79</v>
      </c>
      <c r="K14" s="8">
        <v>236.50226777173549</v>
      </c>
      <c r="L14" s="8">
        <v>747.88690580161142</v>
      </c>
      <c r="M14">
        <v>19</v>
      </c>
      <c r="N14">
        <v>27</v>
      </c>
      <c r="O14">
        <v>11</v>
      </c>
      <c r="P14" s="8">
        <v>289.75882249641143</v>
      </c>
      <c r="Q14" s="8">
        <v>288.20319999999998</v>
      </c>
      <c r="R14" s="8">
        <v>158.49760000000001</v>
      </c>
      <c r="S14" s="8">
        <v>11.42728330520004</v>
      </c>
      <c r="T14" s="8">
        <v>42.2</v>
      </c>
      <c r="U14" s="8">
        <v>-30.772716694799971</v>
      </c>
      <c r="V14" s="8">
        <v>12</v>
      </c>
      <c r="W14" s="8">
        <v>0</v>
      </c>
      <c r="X14" s="8">
        <v>-42.772716694799968</v>
      </c>
      <c r="Y14" s="8">
        <v>42</v>
      </c>
    </row>
    <row r="15" spans="1:25" x14ac:dyDescent="0.25">
      <c r="A15" s="6">
        <v>45689</v>
      </c>
      <c r="B15">
        <v>1206</v>
      </c>
      <c r="C15">
        <v>39</v>
      </c>
      <c r="D15">
        <v>30</v>
      </c>
      <c r="E15" s="7">
        <v>2.5168794691264929E-2</v>
      </c>
      <c r="F15">
        <v>1215</v>
      </c>
      <c r="G15" s="8">
        <v>0.78502532536231784</v>
      </c>
      <c r="H15" s="8">
        <v>979.47315635108578</v>
      </c>
      <c r="I15" s="8">
        <v>156.7157050161737</v>
      </c>
      <c r="J15" s="8">
        <v>79.5</v>
      </c>
      <c r="K15" s="8">
        <v>236.2157050161737</v>
      </c>
      <c r="L15" s="8">
        <v>743.25745133491205</v>
      </c>
      <c r="M15">
        <v>19</v>
      </c>
      <c r="N15">
        <v>27</v>
      </c>
      <c r="O15">
        <v>11</v>
      </c>
      <c r="P15" s="8">
        <v>285.43105854024873</v>
      </c>
      <c r="Q15" s="8">
        <v>288.65320000000003</v>
      </c>
      <c r="R15" s="8">
        <v>158.89760000000001</v>
      </c>
      <c r="S15" s="8">
        <v>10.275592794663281</v>
      </c>
      <c r="T15" s="8">
        <v>42.55</v>
      </c>
      <c r="U15" s="8">
        <v>-32.274407205336708</v>
      </c>
      <c r="V15" s="8">
        <v>12</v>
      </c>
      <c r="W15" s="8">
        <v>0</v>
      </c>
      <c r="X15" s="8">
        <v>-44.274407205336708</v>
      </c>
      <c r="Y15" s="8">
        <v>42</v>
      </c>
    </row>
    <row r="16" spans="1:25" x14ac:dyDescent="0.25">
      <c r="A16" s="6">
        <v>45717</v>
      </c>
      <c r="B16">
        <v>1215</v>
      </c>
      <c r="C16">
        <v>35</v>
      </c>
      <c r="D16">
        <v>33</v>
      </c>
      <c r="E16" s="7">
        <v>2.747790934422999E-2</v>
      </c>
      <c r="F16">
        <v>1217</v>
      </c>
      <c r="G16" s="8">
        <v>0.78548226514306496</v>
      </c>
      <c r="H16" s="8">
        <v>984.74643441396699</v>
      </c>
      <c r="I16" s="8">
        <v>157.55942950623469</v>
      </c>
      <c r="J16" s="8">
        <v>80</v>
      </c>
      <c r="K16" s="8">
        <v>237.55942950623469</v>
      </c>
      <c r="L16" s="8">
        <v>747.18700490773222</v>
      </c>
      <c r="M16">
        <v>19</v>
      </c>
      <c r="N16">
        <v>27</v>
      </c>
      <c r="O16">
        <v>11</v>
      </c>
      <c r="P16" s="8">
        <v>287.14690512304873</v>
      </c>
      <c r="Q16" s="8">
        <v>289.10320000000002</v>
      </c>
      <c r="R16" s="8">
        <v>159.29759999999999</v>
      </c>
      <c r="S16" s="8">
        <v>11.639299784683541</v>
      </c>
      <c r="T16" s="8">
        <v>42.9</v>
      </c>
      <c r="U16" s="8">
        <v>-31.260700215316451</v>
      </c>
      <c r="V16" s="8">
        <v>12</v>
      </c>
      <c r="W16" s="8">
        <v>0</v>
      </c>
      <c r="X16" s="8">
        <v>-43.260700215316447</v>
      </c>
      <c r="Y16" s="8">
        <v>60</v>
      </c>
    </row>
    <row r="17" spans="1:25" x14ac:dyDescent="0.25">
      <c r="A17" s="6">
        <v>45748</v>
      </c>
      <c r="B17">
        <v>1217</v>
      </c>
      <c r="C17">
        <v>38</v>
      </c>
      <c r="D17">
        <v>30</v>
      </c>
      <c r="E17" s="7">
        <v>2.4898055787956491E-2</v>
      </c>
      <c r="F17">
        <v>1225</v>
      </c>
      <c r="G17" s="8">
        <v>0.78642485614994873</v>
      </c>
      <c r="H17" s="8">
        <v>990.22474935908735</v>
      </c>
      <c r="I17" s="8">
        <v>158.43595989745401</v>
      </c>
      <c r="J17" s="8">
        <v>80.5</v>
      </c>
      <c r="K17" s="8">
        <v>238.93595989745401</v>
      </c>
      <c r="L17" s="8">
        <v>751.28878946163331</v>
      </c>
      <c r="M17">
        <v>19</v>
      </c>
      <c r="N17">
        <v>27</v>
      </c>
      <c r="O17">
        <v>11</v>
      </c>
      <c r="P17" s="8">
        <v>292.95889714717049</v>
      </c>
      <c r="Q17" s="8">
        <v>289.5532</v>
      </c>
      <c r="R17" s="8">
        <v>159.69759999999999</v>
      </c>
      <c r="S17" s="8">
        <v>9.0790923144627698</v>
      </c>
      <c r="T17" s="8">
        <v>43.25</v>
      </c>
      <c r="U17" s="8">
        <v>-34.17090768553723</v>
      </c>
      <c r="V17" s="8">
        <v>12</v>
      </c>
      <c r="W17" s="8">
        <v>0</v>
      </c>
      <c r="X17" s="8">
        <v>-46.17090768553723</v>
      </c>
      <c r="Y17" s="8">
        <v>42</v>
      </c>
    </row>
    <row r="18" spans="1:25" x14ac:dyDescent="0.25">
      <c r="A18" s="6">
        <v>45778</v>
      </c>
      <c r="B18">
        <v>1225</v>
      </c>
      <c r="C18">
        <v>41</v>
      </c>
      <c r="D18">
        <v>35</v>
      </c>
      <c r="E18" s="7">
        <v>2.8384109397810081E-2</v>
      </c>
      <c r="F18">
        <v>1231</v>
      </c>
      <c r="G18" s="8">
        <v>0.7911381958488769</v>
      </c>
      <c r="H18" s="8">
        <v>1001.917704502421</v>
      </c>
      <c r="I18" s="8">
        <v>160.30683272038729</v>
      </c>
      <c r="J18" s="8">
        <v>81</v>
      </c>
      <c r="K18" s="8">
        <v>241.30683272038729</v>
      </c>
      <c r="L18" s="8">
        <v>760.61087178203354</v>
      </c>
      <c r="M18">
        <v>20</v>
      </c>
      <c r="N18">
        <v>27</v>
      </c>
      <c r="O18">
        <v>11</v>
      </c>
      <c r="P18" s="8">
        <v>301.86358431707117</v>
      </c>
      <c r="Q18" s="8">
        <v>290.00319999999999</v>
      </c>
      <c r="R18" s="8">
        <v>160.0976</v>
      </c>
      <c r="S18" s="8">
        <v>8.6464874649623766</v>
      </c>
      <c r="T18" s="8">
        <v>43.6</v>
      </c>
      <c r="U18" s="8">
        <v>-34.953512535037618</v>
      </c>
      <c r="V18" s="8">
        <v>12</v>
      </c>
      <c r="W18" s="8">
        <v>0</v>
      </c>
      <c r="X18" s="8">
        <v>-46.953512535037618</v>
      </c>
      <c r="Y18" s="8">
        <v>42</v>
      </c>
    </row>
    <row r="19" spans="1:25" x14ac:dyDescent="0.25">
      <c r="A19" s="6">
        <v>45809</v>
      </c>
      <c r="B19">
        <v>1231</v>
      </c>
      <c r="C19">
        <v>37</v>
      </c>
      <c r="D19">
        <v>35</v>
      </c>
      <c r="E19" s="7">
        <v>2.815850943377874E-2</v>
      </c>
      <c r="F19">
        <v>1233</v>
      </c>
      <c r="G19" s="8">
        <v>0.78723894914074544</v>
      </c>
      <c r="H19" s="8">
        <v>1000.678385341398</v>
      </c>
      <c r="I19" s="8">
        <v>160.10854165462371</v>
      </c>
      <c r="J19" s="8">
        <v>81.5</v>
      </c>
      <c r="K19" s="8">
        <v>241.60854165462371</v>
      </c>
      <c r="L19" s="8">
        <v>759.06984368677456</v>
      </c>
      <c r="M19">
        <v>20</v>
      </c>
      <c r="N19">
        <v>27</v>
      </c>
      <c r="O19">
        <v>11</v>
      </c>
      <c r="P19" s="8">
        <v>304.18043263589283</v>
      </c>
      <c r="Q19" s="8">
        <v>290.45319999999998</v>
      </c>
      <c r="R19" s="8">
        <v>160.49760000000001</v>
      </c>
      <c r="S19" s="8">
        <v>3.9386110508817751</v>
      </c>
      <c r="T19" s="8">
        <v>43.95</v>
      </c>
      <c r="U19" s="8">
        <v>-40.011388949118228</v>
      </c>
      <c r="V19" s="8">
        <v>12</v>
      </c>
      <c r="W19" s="8">
        <v>0</v>
      </c>
      <c r="X19" s="8">
        <v>-52.011388949118228</v>
      </c>
      <c r="Y19" s="8">
        <v>42</v>
      </c>
    </row>
    <row r="20" spans="1:25" x14ac:dyDescent="0.25">
      <c r="A20" s="6">
        <v>45839</v>
      </c>
      <c r="B20">
        <v>1233</v>
      </c>
      <c r="C20">
        <v>35</v>
      </c>
      <c r="D20">
        <v>37</v>
      </c>
      <c r="E20" s="7">
        <v>2.9674634258815051E-2</v>
      </c>
      <c r="F20">
        <v>1231</v>
      </c>
      <c r="G20" s="8">
        <v>0.78862528036991431</v>
      </c>
      <c r="H20" s="8">
        <v>1002.786345415734</v>
      </c>
      <c r="I20" s="8">
        <v>160.44581526651751</v>
      </c>
      <c r="J20" s="8">
        <v>82</v>
      </c>
      <c r="K20" s="8">
        <v>242.44581526651751</v>
      </c>
      <c r="L20" s="8">
        <v>760.34053014921687</v>
      </c>
      <c r="M20">
        <v>20</v>
      </c>
      <c r="N20">
        <v>28</v>
      </c>
      <c r="O20">
        <v>11</v>
      </c>
      <c r="P20" s="8">
        <v>306.87427919469292</v>
      </c>
      <c r="Q20" s="8">
        <v>299.78480000000002</v>
      </c>
      <c r="R20" s="8">
        <v>160.89760000000001</v>
      </c>
      <c r="S20" s="8">
        <v>-7.2161490454760724</v>
      </c>
      <c r="T20" s="8">
        <v>44.3</v>
      </c>
      <c r="U20" s="8">
        <v>-51.51614904547607</v>
      </c>
      <c r="V20" s="8">
        <v>12</v>
      </c>
      <c r="W20" s="8">
        <v>0</v>
      </c>
      <c r="X20" s="8">
        <v>-63.51614904547607</v>
      </c>
      <c r="Y20" s="8">
        <v>42</v>
      </c>
    </row>
    <row r="21" spans="1:25" x14ac:dyDescent="0.25">
      <c r="A21" s="6">
        <v>45870</v>
      </c>
      <c r="B21">
        <v>1231</v>
      </c>
      <c r="C21">
        <v>33</v>
      </c>
      <c r="D21">
        <v>30</v>
      </c>
      <c r="E21" s="7">
        <v>2.4062559884879452E-2</v>
      </c>
      <c r="F21">
        <v>1234</v>
      </c>
      <c r="G21" s="8">
        <v>0.79380656468127542</v>
      </c>
      <c r="H21" s="8">
        <v>1009.966590969672</v>
      </c>
      <c r="I21" s="8">
        <v>161.59465455514751</v>
      </c>
      <c r="J21" s="8">
        <v>82.5</v>
      </c>
      <c r="K21" s="8">
        <v>244.09465455514751</v>
      </c>
      <c r="L21" s="8">
        <v>765.8719364145245</v>
      </c>
      <c r="M21">
        <v>20</v>
      </c>
      <c r="N21">
        <v>28</v>
      </c>
      <c r="O21">
        <v>11</v>
      </c>
      <c r="P21" s="8">
        <v>304.03465244962149</v>
      </c>
      <c r="Q21" s="8">
        <v>300.23480000000001</v>
      </c>
      <c r="R21" s="8">
        <v>161.29759999999999</v>
      </c>
      <c r="S21" s="8">
        <v>0.304883964902956</v>
      </c>
      <c r="T21" s="8">
        <v>44.65</v>
      </c>
      <c r="U21" s="8">
        <v>-44.345116035097043</v>
      </c>
      <c r="V21" s="8">
        <v>12</v>
      </c>
      <c r="W21" s="8">
        <v>0</v>
      </c>
      <c r="X21" s="8">
        <v>-56.345116035097043</v>
      </c>
      <c r="Y21" s="8">
        <v>42</v>
      </c>
    </row>
    <row r="22" spans="1:25" x14ac:dyDescent="0.25">
      <c r="A22" s="6">
        <v>45901</v>
      </c>
      <c r="B22">
        <v>1234</v>
      </c>
      <c r="C22">
        <v>34</v>
      </c>
      <c r="D22">
        <v>34</v>
      </c>
      <c r="E22" s="7">
        <v>2.739755556110433E-2</v>
      </c>
      <c r="F22">
        <v>1234</v>
      </c>
      <c r="G22" s="8">
        <v>0.79273748682866341</v>
      </c>
      <c r="H22" s="8">
        <v>1010.238058746571</v>
      </c>
      <c r="I22" s="8">
        <v>161.6380893994513</v>
      </c>
      <c r="J22" s="8">
        <v>83</v>
      </c>
      <c r="K22" s="8">
        <v>244.6380893994513</v>
      </c>
      <c r="L22" s="8">
        <v>765.59996934711944</v>
      </c>
      <c r="M22">
        <v>20</v>
      </c>
      <c r="N22">
        <v>28</v>
      </c>
      <c r="O22">
        <v>11</v>
      </c>
      <c r="P22" s="8">
        <v>308.30987946093092</v>
      </c>
      <c r="Q22" s="8">
        <v>300.6848</v>
      </c>
      <c r="R22" s="8">
        <v>161.69759999999999</v>
      </c>
      <c r="S22" s="8">
        <v>-5.0923101138114646</v>
      </c>
      <c r="T22" s="8">
        <v>45</v>
      </c>
      <c r="U22" s="8">
        <v>-50.092310113811457</v>
      </c>
      <c r="V22" s="8">
        <v>12</v>
      </c>
      <c r="W22" s="8">
        <v>0</v>
      </c>
      <c r="X22" s="8">
        <v>-62.092310113811457</v>
      </c>
      <c r="Y22" s="8">
        <v>60</v>
      </c>
    </row>
    <row r="23" spans="1:25" x14ac:dyDescent="0.25">
      <c r="A23" s="6">
        <v>45931</v>
      </c>
      <c r="B23">
        <v>1234</v>
      </c>
      <c r="C23">
        <v>36</v>
      </c>
      <c r="D23">
        <v>34</v>
      </c>
      <c r="E23" s="7">
        <v>2.742185113746292E-2</v>
      </c>
      <c r="F23">
        <v>1236</v>
      </c>
      <c r="G23" s="8">
        <v>0.79223100419476755</v>
      </c>
      <c r="H23" s="8">
        <v>1010.805290180538</v>
      </c>
      <c r="I23" s="8">
        <v>161.7288464288861</v>
      </c>
      <c r="J23" s="8">
        <v>83.5</v>
      </c>
      <c r="K23" s="8">
        <v>245.2288464288861</v>
      </c>
      <c r="L23" s="8">
        <v>765.57644375165182</v>
      </c>
      <c r="M23">
        <v>20</v>
      </c>
      <c r="N23">
        <v>28</v>
      </c>
      <c r="O23">
        <v>11</v>
      </c>
      <c r="P23" s="8">
        <v>310.00184191136731</v>
      </c>
      <c r="Q23" s="8">
        <v>301.13479999999998</v>
      </c>
      <c r="R23" s="8">
        <v>162.0976</v>
      </c>
      <c r="S23" s="8">
        <v>-7.6577981597154121</v>
      </c>
      <c r="T23" s="8">
        <v>45.35</v>
      </c>
      <c r="U23" s="8">
        <v>-53.007798159715414</v>
      </c>
      <c r="V23" s="8">
        <v>12</v>
      </c>
      <c r="W23" s="8">
        <v>0</v>
      </c>
      <c r="X23" s="8">
        <v>-65.007798159715406</v>
      </c>
      <c r="Y23" s="8">
        <v>42</v>
      </c>
    </row>
    <row r="24" spans="1:25" x14ac:dyDescent="0.25">
      <c r="A24" s="6">
        <v>45962</v>
      </c>
      <c r="B24">
        <v>1236</v>
      </c>
      <c r="C24">
        <v>29</v>
      </c>
      <c r="D24">
        <v>36</v>
      </c>
      <c r="E24" s="7">
        <v>2.8976701367538649E-2</v>
      </c>
      <c r="F24">
        <v>1229</v>
      </c>
      <c r="G24" s="8">
        <v>0.78188056800704597</v>
      </c>
      <c r="H24" s="8">
        <v>996.46780006868414</v>
      </c>
      <c r="I24" s="8">
        <v>159.4348480109895</v>
      </c>
      <c r="J24" s="8">
        <v>84</v>
      </c>
      <c r="K24" s="8">
        <v>243.4348480109895</v>
      </c>
      <c r="L24" s="8">
        <v>753.03295205769473</v>
      </c>
      <c r="M24">
        <v>20</v>
      </c>
      <c r="N24">
        <v>28</v>
      </c>
      <c r="O24">
        <v>11</v>
      </c>
      <c r="P24" s="8">
        <v>309.48824166133238</v>
      </c>
      <c r="Q24" s="8">
        <v>301.58479999999997</v>
      </c>
      <c r="R24" s="8">
        <v>162.49760000000001</v>
      </c>
      <c r="S24" s="8">
        <v>-20.537689603637659</v>
      </c>
      <c r="T24" s="8">
        <v>45.7</v>
      </c>
      <c r="U24" s="8">
        <v>-66.237689603637662</v>
      </c>
      <c r="V24" s="8">
        <v>12</v>
      </c>
      <c r="W24" s="8">
        <v>0</v>
      </c>
      <c r="X24" s="8">
        <v>-78.237689603637662</v>
      </c>
      <c r="Y24" s="8">
        <v>42</v>
      </c>
    </row>
    <row r="25" spans="1:25" x14ac:dyDescent="0.25">
      <c r="A25" s="6">
        <v>45992</v>
      </c>
      <c r="B25">
        <v>1229</v>
      </c>
      <c r="C25">
        <v>30</v>
      </c>
      <c r="D25">
        <v>33</v>
      </c>
      <c r="E25" s="7">
        <v>2.7042879990251911E-2</v>
      </c>
      <c r="F25">
        <v>1226</v>
      </c>
      <c r="G25" s="8">
        <v>0.784474182308316</v>
      </c>
      <c r="H25" s="8">
        <v>996.14205878345797</v>
      </c>
      <c r="I25" s="8">
        <v>159.3827294053533</v>
      </c>
      <c r="J25" s="8">
        <v>84.5</v>
      </c>
      <c r="K25" s="8">
        <v>243.8827294053533</v>
      </c>
      <c r="L25" s="8">
        <v>752.25932937810467</v>
      </c>
      <c r="M25">
        <v>20</v>
      </c>
      <c r="N25">
        <v>28</v>
      </c>
      <c r="O25">
        <v>11</v>
      </c>
      <c r="P25" s="8">
        <v>304.60151081136638</v>
      </c>
      <c r="Q25" s="8">
        <v>302.03480000000002</v>
      </c>
      <c r="R25" s="8">
        <v>162.89760000000001</v>
      </c>
      <c r="S25" s="8">
        <v>-17.274581433261741</v>
      </c>
      <c r="T25" s="8">
        <v>46.05</v>
      </c>
      <c r="U25" s="8">
        <v>-63.324581433261741</v>
      </c>
      <c r="V25" s="8">
        <v>12</v>
      </c>
      <c r="W25" s="8">
        <v>0</v>
      </c>
      <c r="X25" s="8">
        <v>-75.324581433261741</v>
      </c>
      <c r="Y25" s="8">
        <v>42</v>
      </c>
    </row>
  </sheetData>
  <autoFilter ref="A1:Y25" xr:uid="{00000000-0009-0000-0000-000004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AD47"/>
  </sheetPr>
  <dimension ref="A1:Y13"/>
  <sheetViews>
    <sheetView showGridLines="0" workbookViewId="0">
      <pane xSplit="7" ySplit="1" topLeftCell="R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" customWidth="1"/>
    <col min="2" max="25" width="18" customWidth="1"/>
  </cols>
  <sheetData>
    <row r="1" spans="1:25" ht="27.95" customHeight="1" x14ac:dyDescent="0.25">
      <c r="A1" s="3" t="s">
        <v>123</v>
      </c>
      <c r="B1" s="3" t="s">
        <v>124</v>
      </c>
      <c r="C1" s="3" t="s">
        <v>125</v>
      </c>
      <c r="D1" s="3" t="s">
        <v>126</v>
      </c>
      <c r="E1" s="3" t="s">
        <v>127</v>
      </c>
      <c r="F1" s="3" t="s">
        <v>37</v>
      </c>
      <c r="G1" s="3" t="s">
        <v>128</v>
      </c>
      <c r="H1" s="3" t="s">
        <v>129</v>
      </c>
      <c r="I1" s="3" t="s">
        <v>95</v>
      </c>
      <c r="J1" s="3" t="s">
        <v>130</v>
      </c>
      <c r="K1" s="3" t="s">
        <v>131</v>
      </c>
      <c r="L1" s="3" t="s">
        <v>132</v>
      </c>
      <c r="M1" s="3" t="s">
        <v>133</v>
      </c>
      <c r="N1" s="3" t="s">
        <v>134</v>
      </c>
      <c r="O1" s="3" t="s">
        <v>135</v>
      </c>
      <c r="P1" s="3" t="s">
        <v>136</v>
      </c>
      <c r="Q1" s="3" t="s">
        <v>137</v>
      </c>
      <c r="R1" s="3" t="s">
        <v>138</v>
      </c>
      <c r="S1" s="3" t="s">
        <v>139</v>
      </c>
      <c r="T1" s="3" t="s">
        <v>67</v>
      </c>
      <c r="U1" s="3" t="s">
        <v>140</v>
      </c>
      <c r="V1" s="3" t="s">
        <v>141</v>
      </c>
      <c r="W1" s="3" t="s">
        <v>142</v>
      </c>
      <c r="X1" s="3" t="s">
        <v>143</v>
      </c>
      <c r="Y1" s="3" t="s">
        <v>144</v>
      </c>
    </row>
    <row r="2" spans="1:25" x14ac:dyDescent="0.25">
      <c r="A2" s="6">
        <v>46023</v>
      </c>
      <c r="B2">
        <v>1368</v>
      </c>
      <c r="C2">
        <v>40</v>
      </c>
      <c r="D2">
        <v>34</v>
      </c>
      <c r="E2" s="7">
        <v>2.5000000000000001E-2</v>
      </c>
      <c r="F2">
        <v>1374</v>
      </c>
      <c r="G2" s="8">
        <v>0.82</v>
      </c>
      <c r="H2" s="8">
        <v>1158.22</v>
      </c>
      <c r="I2" s="8">
        <v>185.3152</v>
      </c>
      <c r="J2" s="8">
        <v>92</v>
      </c>
      <c r="K2" s="8">
        <v>277.3152</v>
      </c>
      <c r="L2" s="8">
        <v>880.90480000000002</v>
      </c>
      <c r="M2">
        <v>23</v>
      </c>
      <c r="N2">
        <v>30</v>
      </c>
      <c r="O2">
        <v>12</v>
      </c>
      <c r="P2" s="8">
        <v>350.45</v>
      </c>
      <c r="Q2" s="8">
        <v>329.5</v>
      </c>
      <c r="R2" s="8">
        <v>177.8</v>
      </c>
      <c r="S2" s="8">
        <v>23.15479999999997</v>
      </c>
      <c r="T2" s="8">
        <v>48</v>
      </c>
      <c r="U2" s="8">
        <v>-24.84520000000003</v>
      </c>
      <c r="V2" s="8">
        <v>12</v>
      </c>
      <c r="W2" s="8">
        <v>0</v>
      </c>
      <c r="X2" s="8">
        <v>-36.845200000000027</v>
      </c>
      <c r="Y2" s="8">
        <v>55</v>
      </c>
    </row>
    <row r="3" spans="1:25" x14ac:dyDescent="0.25">
      <c r="A3" s="6">
        <v>46054</v>
      </c>
      <c r="B3">
        <v>1374</v>
      </c>
      <c r="C3">
        <v>42</v>
      </c>
      <c r="D3">
        <v>34</v>
      </c>
      <c r="E3" s="7">
        <v>2.5000000000000001E-2</v>
      </c>
      <c r="F3">
        <v>1382</v>
      </c>
      <c r="G3" s="8">
        <v>0.82</v>
      </c>
      <c r="H3" s="8">
        <v>1163.96</v>
      </c>
      <c r="I3" s="8">
        <v>186.2336</v>
      </c>
      <c r="J3" s="8">
        <v>92</v>
      </c>
      <c r="K3" s="8">
        <v>278.23360000000002</v>
      </c>
      <c r="L3" s="8">
        <v>885.72640000000001</v>
      </c>
      <c r="M3">
        <v>23</v>
      </c>
      <c r="N3">
        <v>30</v>
      </c>
      <c r="O3">
        <v>12</v>
      </c>
      <c r="P3" s="8">
        <v>350.45</v>
      </c>
      <c r="Q3" s="8">
        <v>329.5</v>
      </c>
      <c r="R3" s="8">
        <v>177.8</v>
      </c>
      <c r="S3" s="8">
        <v>27.976399999999959</v>
      </c>
      <c r="T3" s="8">
        <v>48</v>
      </c>
      <c r="U3" s="8">
        <v>-20.023600000000041</v>
      </c>
      <c r="V3" s="8">
        <v>12</v>
      </c>
      <c r="W3" s="8">
        <v>0</v>
      </c>
      <c r="X3" s="8">
        <v>-32.023600000000037</v>
      </c>
      <c r="Y3" s="8">
        <v>55</v>
      </c>
    </row>
    <row r="4" spans="1:25" x14ac:dyDescent="0.25">
      <c r="A4" s="6">
        <v>46082</v>
      </c>
      <c r="B4">
        <v>1382</v>
      </c>
      <c r="C4">
        <v>44</v>
      </c>
      <c r="D4">
        <v>35</v>
      </c>
      <c r="E4" s="7">
        <v>2.5000000000000001E-2</v>
      </c>
      <c r="F4">
        <v>1391</v>
      </c>
      <c r="G4" s="8">
        <v>0.82</v>
      </c>
      <c r="H4" s="8">
        <v>1170.93</v>
      </c>
      <c r="I4" s="8">
        <v>187.34880000000001</v>
      </c>
      <c r="J4" s="8">
        <v>92</v>
      </c>
      <c r="K4" s="8">
        <v>279.34879999999998</v>
      </c>
      <c r="L4" s="8">
        <v>891.58119999999985</v>
      </c>
      <c r="M4">
        <v>23</v>
      </c>
      <c r="N4">
        <v>31</v>
      </c>
      <c r="O4">
        <v>12</v>
      </c>
      <c r="P4" s="8">
        <v>350.45</v>
      </c>
      <c r="Q4" s="8">
        <v>338.65</v>
      </c>
      <c r="R4" s="8">
        <v>177.8</v>
      </c>
      <c r="S4" s="8">
        <v>24.681199999999819</v>
      </c>
      <c r="T4" s="8">
        <v>48</v>
      </c>
      <c r="U4" s="8">
        <v>-23.318800000000181</v>
      </c>
      <c r="V4" s="8">
        <v>12</v>
      </c>
      <c r="W4" s="8">
        <v>0</v>
      </c>
      <c r="X4" s="8">
        <v>-35.318800000000181</v>
      </c>
      <c r="Y4" s="8">
        <v>55</v>
      </c>
    </row>
    <row r="5" spans="1:25" x14ac:dyDescent="0.25">
      <c r="A5" s="6">
        <v>46113</v>
      </c>
      <c r="B5">
        <v>1391</v>
      </c>
      <c r="C5">
        <v>45</v>
      </c>
      <c r="D5">
        <v>35</v>
      </c>
      <c r="E5" s="7">
        <v>2.5000000000000001E-2</v>
      </c>
      <c r="F5">
        <v>1401</v>
      </c>
      <c r="G5" s="8">
        <v>0.82</v>
      </c>
      <c r="H5" s="8">
        <v>1178.72</v>
      </c>
      <c r="I5" s="8">
        <v>188.59520000000001</v>
      </c>
      <c r="J5" s="8">
        <v>92</v>
      </c>
      <c r="K5" s="8">
        <v>280.59519999999998</v>
      </c>
      <c r="L5" s="8">
        <v>898.12480000000005</v>
      </c>
      <c r="M5">
        <v>24</v>
      </c>
      <c r="N5">
        <v>31</v>
      </c>
      <c r="O5">
        <v>12</v>
      </c>
      <c r="P5" s="8">
        <v>359.6</v>
      </c>
      <c r="Q5" s="8">
        <v>338.65</v>
      </c>
      <c r="R5" s="8">
        <v>177.8</v>
      </c>
      <c r="S5" s="8">
        <v>22.074800000000039</v>
      </c>
      <c r="T5" s="8">
        <v>48</v>
      </c>
      <c r="U5" s="8">
        <v>-25.925199999999961</v>
      </c>
      <c r="V5" s="8">
        <v>12</v>
      </c>
      <c r="W5" s="8">
        <v>0</v>
      </c>
      <c r="X5" s="8">
        <v>-37.925199999999961</v>
      </c>
      <c r="Y5" s="8">
        <v>55</v>
      </c>
    </row>
    <row r="6" spans="1:25" x14ac:dyDescent="0.25">
      <c r="A6" s="6">
        <v>46143</v>
      </c>
      <c r="B6">
        <v>1401</v>
      </c>
      <c r="C6">
        <v>45</v>
      </c>
      <c r="D6">
        <v>35</v>
      </c>
      <c r="E6" s="7">
        <v>2.5000000000000001E-2</v>
      </c>
      <c r="F6">
        <v>1411</v>
      </c>
      <c r="G6" s="8">
        <v>0.82</v>
      </c>
      <c r="H6" s="8">
        <v>1186.92</v>
      </c>
      <c r="I6" s="8">
        <v>189.90719999999999</v>
      </c>
      <c r="J6" s="8">
        <v>92</v>
      </c>
      <c r="K6" s="8">
        <v>281.90719999999999</v>
      </c>
      <c r="L6" s="8">
        <v>905.01279999999986</v>
      </c>
      <c r="M6">
        <v>24</v>
      </c>
      <c r="N6">
        <v>31</v>
      </c>
      <c r="O6">
        <v>12</v>
      </c>
      <c r="P6" s="8">
        <v>359.6</v>
      </c>
      <c r="Q6" s="8">
        <v>338.65</v>
      </c>
      <c r="R6" s="8">
        <v>177.8</v>
      </c>
      <c r="S6" s="8">
        <v>28.962799999999849</v>
      </c>
      <c r="T6" s="8">
        <v>48</v>
      </c>
      <c r="U6" s="8">
        <v>-19.037200000000151</v>
      </c>
      <c r="V6" s="8">
        <v>12</v>
      </c>
      <c r="W6" s="8">
        <v>0</v>
      </c>
      <c r="X6" s="8">
        <v>-31.037200000000151</v>
      </c>
      <c r="Y6" s="8">
        <v>55</v>
      </c>
    </row>
    <row r="7" spans="1:25" x14ac:dyDescent="0.25">
      <c r="A7" s="6">
        <v>46174</v>
      </c>
      <c r="B7">
        <v>1411</v>
      </c>
      <c r="C7">
        <v>45</v>
      </c>
      <c r="D7">
        <v>35</v>
      </c>
      <c r="E7" s="7">
        <v>2.5000000000000001E-2</v>
      </c>
      <c r="F7">
        <v>1421</v>
      </c>
      <c r="G7" s="8">
        <v>0.82</v>
      </c>
      <c r="H7" s="8">
        <v>1195.1199999999999</v>
      </c>
      <c r="I7" s="8">
        <v>191.2192</v>
      </c>
      <c r="J7" s="8">
        <v>92</v>
      </c>
      <c r="K7" s="8">
        <v>283.2192</v>
      </c>
      <c r="L7" s="8">
        <v>911.90079999999989</v>
      </c>
      <c r="M7">
        <v>24</v>
      </c>
      <c r="N7">
        <v>31</v>
      </c>
      <c r="O7">
        <v>12</v>
      </c>
      <c r="P7" s="8">
        <v>359.6</v>
      </c>
      <c r="Q7" s="8">
        <v>338.65</v>
      </c>
      <c r="R7" s="8">
        <v>177.8</v>
      </c>
      <c r="S7" s="8">
        <v>35.850799999999879</v>
      </c>
      <c r="T7" s="8">
        <v>48</v>
      </c>
      <c r="U7" s="8">
        <v>-12.149200000000119</v>
      </c>
      <c r="V7" s="8">
        <v>12</v>
      </c>
      <c r="W7" s="8">
        <v>0</v>
      </c>
      <c r="X7" s="8">
        <v>-24.149200000000121</v>
      </c>
      <c r="Y7" s="8">
        <v>55</v>
      </c>
    </row>
    <row r="8" spans="1:25" x14ac:dyDescent="0.25">
      <c r="A8" s="6">
        <v>46204</v>
      </c>
      <c r="B8">
        <v>1421</v>
      </c>
      <c r="C8">
        <v>44</v>
      </c>
      <c r="D8">
        <v>36</v>
      </c>
      <c r="E8" s="7">
        <v>2.5000000000000001E-2</v>
      </c>
      <c r="F8">
        <v>1429</v>
      </c>
      <c r="G8" s="8">
        <v>0.82</v>
      </c>
      <c r="H8" s="8">
        <v>1202.5</v>
      </c>
      <c r="I8" s="8">
        <v>192.4</v>
      </c>
      <c r="J8" s="8">
        <v>92</v>
      </c>
      <c r="K8" s="8">
        <v>284.39999999999998</v>
      </c>
      <c r="L8" s="8">
        <v>918.1</v>
      </c>
      <c r="M8">
        <v>24</v>
      </c>
      <c r="N8">
        <v>32</v>
      </c>
      <c r="O8">
        <v>12</v>
      </c>
      <c r="P8" s="8">
        <v>359.6</v>
      </c>
      <c r="Q8" s="8">
        <v>347.8</v>
      </c>
      <c r="R8" s="8">
        <v>177.8</v>
      </c>
      <c r="S8" s="8">
        <v>32.899999999999977</v>
      </c>
      <c r="T8" s="8">
        <v>48</v>
      </c>
      <c r="U8" s="8">
        <v>-15.100000000000019</v>
      </c>
      <c r="V8" s="8">
        <v>12</v>
      </c>
      <c r="W8" s="8">
        <v>0</v>
      </c>
      <c r="X8" s="8">
        <v>-27.100000000000019</v>
      </c>
      <c r="Y8" s="8">
        <v>55</v>
      </c>
    </row>
    <row r="9" spans="1:25" x14ac:dyDescent="0.25">
      <c r="A9" s="6">
        <v>46235</v>
      </c>
      <c r="B9">
        <v>1429</v>
      </c>
      <c r="C9">
        <v>42</v>
      </c>
      <c r="D9">
        <v>36</v>
      </c>
      <c r="E9" s="7">
        <v>2.5000000000000001E-2</v>
      </c>
      <c r="F9">
        <v>1435</v>
      </c>
      <c r="G9" s="8">
        <v>0.82</v>
      </c>
      <c r="H9" s="8">
        <v>1208.24</v>
      </c>
      <c r="I9" s="8">
        <v>193.3184</v>
      </c>
      <c r="J9" s="8">
        <v>92</v>
      </c>
      <c r="K9" s="8">
        <v>285.3184</v>
      </c>
      <c r="L9" s="8">
        <v>922.92160000000001</v>
      </c>
      <c r="M9">
        <v>24</v>
      </c>
      <c r="N9">
        <v>32</v>
      </c>
      <c r="O9">
        <v>13</v>
      </c>
      <c r="P9" s="8">
        <v>359.6</v>
      </c>
      <c r="Q9" s="8">
        <v>347.8</v>
      </c>
      <c r="R9" s="8">
        <v>186.95</v>
      </c>
      <c r="S9" s="8">
        <v>28.571599999999989</v>
      </c>
      <c r="T9" s="8">
        <v>48</v>
      </c>
      <c r="U9" s="8">
        <v>-19.428400000000011</v>
      </c>
      <c r="V9" s="8">
        <v>12</v>
      </c>
      <c r="W9" s="8">
        <v>0</v>
      </c>
      <c r="X9" s="8">
        <v>-31.428400000000011</v>
      </c>
      <c r="Y9" s="8">
        <v>55</v>
      </c>
    </row>
    <row r="10" spans="1:25" x14ac:dyDescent="0.25">
      <c r="A10" s="6">
        <v>46266</v>
      </c>
      <c r="B10">
        <v>1435</v>
      </c>
      <c r="C10">
        <v>40</v>
      </c>
      <c r="D10">
        <v>36</v>
      </c>
      <c r="E10" s="7">
        <v>2.5000000000000001E-2</v>
      </c>
      <c r="F10">
        <v>1439</v>
      </c>
      <c r="G10" s="8">
        <v>0.82</v>
      </c>
      <c r="H10" s="8">
        <v>1212.3399999999999</v>
      </c>
      <c r="I10" s="8">
        <v>193.9744</v>
      </c>
      <c r="J10" s="8">
        <v>92</v>
      </c>
      <c r="K10" s="8">
        <v>285.9744</v>
      </c>
      <c r="L10" s="8">
        <v>926.36559999999986</v>
      </c>
      <c r="M10">
        <v>25</v>
      </c>
      <c r="N10">
        <v>32</v>
      </c>
      <c r="O10">
        <v>13</v>
      </c>
      <c r="P10" s="8">
        <v>368.75</v>
      </c>
      <c r="Q10" s="8">
        <v>347.8</v>
      </c>
      <c r="R10" s="8">
        <v>186.95</v>
      </c>
      <c r="S10" s="8">
        <v>22.865599999999858</v>
      </c>
      <c r="T10" s="8">
        <v>48</v>
      </c>
      <c r="U10" s="8">
        <v>-25.134400000000142</v>
      </c>
      <c r="V10" s="8">
        <v>12</v>
      </c>
      <c r="W10" s="8">
        <v>0</v>
      </c>
      <c r="X10" s="8">
        <v>-37.134400000000142</v>
      </c>
      <c r="Y10" s="8">
        <v>55</v>
      </c>
    </row>
    <row r="11" spans="1:25" x14ac:dyDescent="0.25">
      <c r="A11" s="6">
        <v>46296</v>
      </c>
      <c r="B11">
        <v>1439</v>
      </c>
      <c r="C11">
        <v>39</v>
      </c>
      <c r="D11">
        <v>36</v>
      </c>
      <c r="E11" s="7">
        <v>2.5000000000000001E-2</v>
      </c>
      <c r="F11">
        <v>1442</v>
      </c>
      <c r="G11" s="8">
        <v>0.82</v>
      </c>
      <c r="H11" s="8">
        <v>1215.21</v>
      </c>
      <c r="I11" s="8">
        <v>194.43360000000001</v>
      </c>
      <c r="J11" s="8">
        <v>92</v>
      </c>
      <c r="K11" s="8">
        <v>286.43360000000001</v>
      </c>
      <c r="L11" s="8">
        <v>928.77639999999997</v>
      </c>
      <c r="M11">
        <v>25</v>
      </c>
      <c r="N11">
        <v>32</v>
      </c>
      <c r="O11">
        <v>13</v>
      </c>
      <c r="P11" s="8">
        <v>368.75</v>
      </c>
      <c r="Q11" s="8">
        <v>347.8</v>
      </c>
      <c r="R11" s="8">
        <v>186.95</v>
      </c>
      <c r="S11" s="8">
        <v>25.27639999999997</v>
      </c>
      <c r="T11" s="8">
        <v>48</v>
      </c>
      <c r="U11" s="8">
        <v>-22.72360000000003</v>
      </c>
      <c r="V11" s="8">
        <v>12</v>
      </c>
      <c r="W11" s="8">
        <v>0</v>
      </c>
      <c r="X11" s="8">
        <v>-34.723600000000033</v>
      </c>
      <c r="Y11" s="8">
        <v>55</v>
      </c>
    </row>
    <row r="12" spans="1:25" x14ac:dyDescent="0.25">
      <c r="A12" s="6">
        <v>46327</v>
      </c>
      <c r="B12">
        <v>1442</v>
      </c>
      <c r="C12">
        <v>39</v>
      </c>
      <c r="D12">
        <v>36</v>
      </c>
      <c r="E12" s="7">
        <v>2.5000000000000001E-2</v>
      </c>
      <c r="F12">
        <v>1445</v>
      </c>
      <c r="G12" s="8">
        <v>0.82</v>
      </c>
      <c r="H12" s="8">
        <v>1217.67</v>
      </c>
      <c r="I12" s="8">
        <v>194.8272</v>
      </c>
      <c r="J12" s="8">
        <v>92</v>
      </c>
      <c r="K12" s="8">
        <v>286.82719999999989</v>
      </c>
      <c r="L12" s="8">
        <v>930.8427999999999</v>
      </c>
      <c r="M12">
        <v>25</v>
      </c>
      <c r="N12">
        <v>32</v>
      </c>
      <c r="O12">
        <v>13</v>
      </c>
      <c r="P12" s="8">
        <v>368.75</v>
      </c>
      <c r="Q12" s="8">
        <v>347.8</v>
      </c>
      <c r="R12" s="8">
        <v>186.95</v>
      </c>
      <c r="S12" s="8">
        <v>27.342799999999901</v>
      </c>
      <c r="T12" s="8">
        <v>48</v>
      </c>
      <c r="U12" s="8">
        <v>-20.657200000000099</v>
      </c>
      <c r="V12" s="8">
        <v>12</v>
      </c>
      <c r="W12" s="8">
        <v>0</v>
      </c>
      <c r="X12" s="8">
        <v>-32.657200000000103</v>
      </c>
      <c r="Y12" s="8">
        <v>55</v>
      </c>
    </row>
    <row r="13" spans="1:25" x14ac:dyDescent="0.25">
      <c r="A13" s="6">
        <v>46357</v>
      </c>
      <c r="B13">
        <v>1445</v>
      </c>
      <c r="C13">
        <v>39</v>
      </c>
      <c r="D13">
        <v>36</v>
      </c>
      <c r="E13" s="7">
        <v>2.5000000000000001E-2</v>
      </c>
      <c r="F13">
        <v>1448</v>
      </c>
      <c r="G13" s="8">
        <v>0.82</v>
      </c>
      <c r="H13" s="8">
        <v>1220.1300000000001</v>
      </c>
      <c r="I13" s="8">
        <v>195.2208</v>
      </c>
      <c r="J13" s="8">
        <v>92</v>
      </c>
      <c r="K13" s="8">
        <v>287.2208</v>
      </c>
      <c r="L13" s="8">
        <v>932.90919999999983</v>
      </c>
      <c r="M13">
        <v>25</v>
      </c>
      <c r="N13">
        <v>32</v>
      </c>
      <c r="O13">
        <v>13</v>
      </c>
      <c r="P13" s="8">
        <v>368.75</v>
      </c>
      <c r="Q13" s="8">
        <v>347.8</v>
      </c>
      <c r="R13" s="8">
        <v>186.95</v>
      </c>
      <c r="S13" s="8">
        <v>29.409199999999831</v>
      </c>
      <c r="T13" s="8">
        <v>48</v>
      </c>
      <c r="U13" s="8">
        <v>-18.590800000000169</v>
      </c>
      <c r="V13" s="8">
        <v>12</v>
      </c>
      <c r="W13" s="8">
        <v>0</v>
      </c>
      <c r="X13" s="8">
        <v>-30.590800000000169</v>
      </c>
      <c r="Y13" s="8">
        <v>55</v>
      </c>
    </row>
  </sheetData>
  <autoFilter ref="A1:Y13" xr:uid="{00000000-0009-0000-0000-000005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AD47"/>
  </sheetPr>
  <dimension ref="A1:Y7"/>
  <sheetViews>
    <sheetView showGridLines="0" workbookViewId="0">
      <pane xSplit="7" ySplit="1" topLeftCell="H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3" customWidth="1"/>
    <col min="2" max="25" width="18" customWidth="1"/>
  </cols>
  <sheetData>
    <row r="1" spans="1:25" ht="27.95" customHeight="1" x14ac:dyDescent="0.25">
      <c r="A1" s="3" t="s">
        <v>123</v>
      </c>
      <c r="B1" s="3" t="s">
        <v>124</v>
      </c>
      <c r="C1" s="3" t="s">
        <v>125</v>
      </c>
      <c r="D1" s="3" t="s">
        <v>126</v>
      </c>
      <c r="E1" s="3" t="s">
        <v>127</v>
      </c>
      <c r="F1" s="3" t="s">
        <v>37</v>
      </c>
      <c r="G1" s="3" t="s">
        <v>128</v>
      </c>
      <c r="H1" s="3" t="s">
        <v>129</v>
      </c>
      <c r="I1" s="3" t="s">
        <v>95</v>
      </c>
      <c r="J1" s="3" t="s">
        <v>130</v>
      </c>
      <c r="K1" s="3" t="s">
        <v>131</v>
      </c>
      <c r="L1" s="3" t="s">
        <v>132</v>
      </c>
      <c r="M1" s="3" t="s">
        <v>133</v>
      </c>
      <c r="N1" s="3" t="s">
        <v>134</v>
      </c>
      <c r="O1" s="3" t="s">
        <v>135</v>
      </c>
      <c r="P1" s="3" t="s">
        <v>136</v>
      </c>
      <c r="Q1" s="3" t="s">
        <v>137</v>
      </c>
      <c r="R1" s="3" t="s">
        <v>138</v>
      </c>
      <c r="S1" s="3" t="s">
        <v>139</v>
      </c>
      <c r="T1" s="3" t="s">
        <v>67</v>
      </c>
      <c r="U1" s="3" t="s">
        <v>140</v>
      </c>
      <c r="V1" s="3" t="s">
        <v>141</v>
      </c>
      <c r="W1" s="3" t="s">
        <v>142</v>
      </c>
      <c r="X1" s="3" t="s">
        <v>143</v>
      </c>
      <c r="Y1" s="3" t="s">
        <v>144</v>
      </c>
    </row>
    <row r="2" spans="1:25" x14ac:dyDescent="0.25">
      <c r="A2" s="6">
        <v>46023</v>
      </c>
      <c r="B2">
        <v>1368</v>
      </c>
      <c r="C2">
        <v>40</v>
      </c>
      <c r="D2">
        <v>43</v>
      </c>
      <c r="E2" s="7">
        <v>3.1097533082974149E-2</v>
      </c>
      <c r="F2">
        <v>1365</v>
      </c>
      <c r="G2" s="8">
        <v>0.81216937611227957</v>
      </c>
      <c r="H2" s="8">
        <v>1139.8294524574301</v>
      </c>
      <c r="I2" s="8">
        <v>188.071859655476</v>
      </c>
      <c r="J2" s="8">
        <v>94.139810587142875</v>
      </c>
      <c r="K2" s="8">
        <v>282.21167024261888</v>
      </c>
      <c r="L2" s="8">
        <v>857.6177822148112</v>
      </c>
      <c r="M2">
        <v>23</v>
      </c>
      <c r="N2">
        <v>30</v>
      </c>
      <c r="O2">
        <v>12</v>
      </c>
      <c r="P2" s="8">
        <v>345.91777068821671</v>
      </c>
      <c r="Q2" s="8">
        <v>328.07546727528211</v>
      </c>
      <c r="R2" s="8">
        <v>180.8415646394829</v>
      </c>
      <c r="S2" s="8">
        <v>2.7829796118294889</v>
      </c>
      <c r="T2" s="8">
        <v>47</v>
      </c>
      <c r="U2" s="8">
        <v>-44.217020388170511</v>
      </c>
      <c r="V2" s="8">
        <v>12</v>
      </c>
      <c r="W2" s="8">
        <v>0</v>
      </c>
      <c r="X2" s="8">
        <v>-56.217020388170511</v>
      </c>
      <c r="Y2" s="8">
        <v>50</v>
      </c>
    </row>
    <row r="3" spans="1:25" x14ac:dyDescent="0.25">
      <c r="A3" s="6">
        <v>46054</v>
      </c>
      <c r="B3">
        <v>1365</v>
      </c>
      <c r="C3">
        <v>39</v>
      </c>
      <c r="D3">
        <v>42</v>
      </c>
      <c r="E3" s="7">
        <v>3.0763597813120491E-2</v>
      </c>
      <c r="F3">
        <v>1362</v>
      </c>
      <c r="G3" s="8">
        <v>0.80803987278418388</v>
      </c>
      <c r="H3" s="8">
        <v>1131.762366541235</v>
      </c>
      <c r="I3" s="8">
        <v>186.74079047930371</v>
      </c>
      <c r="J3" s="8">
        <v>96.335380677875321</v>
      </c>
      <c r="K3" s="8">
        <v>283.07617115717898</v>
      </c>
      <c r="L3" s="8">
        <v>848.68619538405574</v>
      </c>
      <c r="M3">
        <v>23</v>
      </c>
      <c r="N3">
        <v>30</v>
      </c>
      <c r="O3">
        <v>12</v>
      </c>
      <c r="P3" s="8">
        <v>345.9832843443877</v>
      </c>
      <c r="Q3" s="8">
        <v>329.94660248992778</v>
      </c>
      <c r="R3" s="8">
        <v>182.574752617396</v>
      </c>
      <c r="S3" s="8">
        <v>-9.8184440676558324</v>
      </c>
      <c r="T3" s="8">
        <v>47</v>
      </c>
      <c r="U3" s="8">
        <v>-56.818444067655832</v>
      </c>
      <c r="V3" s="8">
        <v>12</v>
      </c>
      <c r="W3" s="8">
        <v>0</v>
      </c>
      <c r="X3" s="8">
        <v>-68.818444067655832</v>
      </c>
      <c r="Y3" s="8">
        <v>50</v>
      </c>
    </row>
    <row r="4" spans="1:25" x14ac:dyDescent="0.25">
      <c r="A4" s="6">
        <v>46082</v>
      </c>
      <c r="B4">
        <v>1362</v>
      </c>
      <c r="C4">
        <v>40</v>
      </c>
      <c r="D4">
        <v>40</v>
      </c>
      <c r="E4" s="7">
        <v>2.969013942978637E-2</v>
      </c>
      <c r="F4">
        <v>1362</v>
      </c>
      <c r="G4" s="8">
        <v>0.80862334526852664</v>
      </c>
      <c r="H4" s="8">
        <v>1131.3449962557329</v>
      </c>
      <c r="I4" s="8">
        <v>186.67192438219601</v>
      </c>
      <c r="J4" s="8">
        <v>97.353214131016287</v>
      </c>
      <c r="K4" s="8">
        <v>284.02513851321231</v>
      </c>
      <c r="L4" s="8">
        <v>847.31985774252098</v>
      </c>
      <c r="M4">
        <v>23</v>
      </c>
      <c r="N4">
        <v>30</v>
      </c>
      <c r="O4">
        <v>12</v>
      </c>
      <c r="P4" s="8">
        <v>347.56088992721828</v>
      </c>
      <c r="Q4" s="8">
        <v>330.05700810943142</v>
      </c>
      <c r="R4" s="8">
        <v>182.97404111502749</v>
      </c>
      <c r="S4" s="8">
        <v>-13.272081409156129</v>
      </c>
      <c r="T4" s="8">
        <v>47</v>
      </c>
      <c r="U4" s="8">
        <v>-60.272081409156129</v>
      </c>
      <c r="V4" s="8">
        <v>12</v>
      </c>
      <c r="W4" s="8">
        <v>0</v>
      </c>
      <c r="X4" s="8">
        <v>-72.272081409156129</v>
      </c>
      <c r="Y4" s="8">
        <v>65</v>
      </c>
    </row>
    <row r="5" spans="1:25" x14ac:dyDescent="0.25">
      <c r="A5" s="6">
        <v>46113</v>
      </c>
      <c r="B5">
        <v>1362</v>
      </c>
      <c r="C5">
        <v>42</v>
      </c>
      <c r="D5">
        <v>39</v>
      </c>
      <c r="E5" s="7">
        <v>2.875388402054346E-2</v>
      </c>
      <c r="F5">
        <v>1365</v>
      </c>
      <c r="G5" s="8">
        <v>0.81272279979472706</v>
      </c>
      <c r="H5" s="8">
        <v>1138.1475375201101</v>
      </c>
      <c r="I5" s="8">
        <v>187.79434369081821</v>
      </c>
      <c r="J5" s="8">
        <v>93.646190193200553</v>
      </c>
      <c r="K5" s="8">
        <v>281.44053388401869</v>
      </c>
      <c r="L5" s="8">
        <v>856.70700363609149</v>
      </c>
      <c r="M5">
        <v>23</v>
      </c>
      <c r="N5">
        <v>31</v>
      </c>
      <c r="O5">
        <v>12</v>
      </c>
      <c r="P5" s="8">
        <v>349.60509255903298</v>
      </c>
      <c r="Q5" s="8">
        <v>338.90087046487491</v>
      </c>
      <c r="R5" s="8">
        <v>178.36235041009931</v>
      </c>
      <c r="S5" s="8">
        <v>-10.16130979791569</v>
      </c>
      <c r="T5" s="8">
        <v>47</v>
      </c>
      <c r="U5" s="8">
        <v>-57.161309797915692</v>
      </c>
      <c r="V5" s="8">
        <v>12</v>
      </c>
      <c r="W5" s="8">
        <v>0</v>
      </c>
      <c r="X5" s="8">
        <v>-69.161309797915692</v>
      </c>
      <c r="Y5" s="8">
        <v>50</v>
      </c>
    </row>
    <row r="6" spans="1:25" x14ac:dyDescent="0.25">
      <c r="A6" s="6">
        <v>46143</v>
      </c>
      <c r="B6">
        <v>1365</v>
      </c>
      <c r="C6">
        <v>44</v>
      </c>
      <c r="D6">
        <v>42</v>
      </c>
      <c r="E6" s="7">
        <v>3.0821908467658619E-2</v>
      </c>
      <c r="F6">
        <v>1367</v>
      </c>
      <c r="G6" s="8">
        <v>0.80830588159777061</v>
      </c>
      <c r="H6" s="8">
        <v>1134.1458342625549</v>
      </c>
      <c r="I6" s="8">
        <v>187.13406265332151</v>
      </c>
      <c r="J6" s="8">
        <v>97.810275275159967</v>
      </c>
      <c r="K6" s="8">
        <v>284.9443379284815</v>
      </c>
      <c r="L6" s="8">
        <v>849.20149633407323</v>
      </c>
      <c r="M6">
        <v>24</v>
      </c>
      <c r="N6">
        <v>31</v>
      </c>
      <c r="O6">
        <v>12</v>
      </c>
      <c r="P6" s="8">
        <v>359.82212186512999</v>
      </c>
      <c r="Q6" s="8">
        <v>335.21099585338487</v>
      </c>
      <c r="R6" s="8">
        <v>179.3772589265856</v>
      </c>
      <c r="S6" s="8">
        <v>-25.208880311027311</v>
      </c>
      <c r="T6" s="8">
        <v>47</v>
      </c>
      <c r="U6" s="8">
        <v>-72.208880311027315</v>
      </c>
      <c r="V6" s="8">
        <v>12</v>
      </c>
      <c r="W6" s="8">
        <v>0</v>
      </c>
      <c r="X6" s="8">
        <v>-84.208880311027315</v>
      </c>
      <c r="Y6" s="8">
        <v>50</v>
      </c>
    </row>
    <row r="7" spans="1:25" x14ac:dyDescent="0.25">
      <c r="A7" s="6">
        <v>46174</v>
      </c>
      <c r="B7">
        <v>1367</v>
      </c>
      <c r="C7">
        <v>41</v>
      </c>
      <c r="D7">
        <v>42</v>
      </c>
      <c r="E7" s="7">
        <v>3.07641441062034E-2</v>
      </c>
      <c r="F7">
        <v>1366</v>
      </c>
      <c r="G7" s="8">
        <v>0.81125084561654559</v>
      </c>
      <c r="H7" s="8">
        <v>1138.5742805350101</v>
      </c>
      <c r="I7" s="8">
        <v>187.8647562882766</v>
      </c>
      <c r="J7" s="8">
        <v>97.417117909656383</v>
      </c>
      <c r="K7" s="8">
        <v>285.28187419793301</v>
      </c>
      <c r="L7" s="8">
        <v>853.29240633707661</v>
      </c>
      <c r="M7">
        <v>24</v>
      </c>
      <c r="N7">
        <v>31</v>
      </c>
      <c r="O7">
        <v>12</v>
      </c>
      <c r="P7" s="8">
        <v>362.09422374277818</v>
      </c>
      <c r="Q7" s="8">
        <v>335.21282088505512</v>
      </c>
      <c r="R7" s="8">
        <v>178.0113208893361</v>
      </c>
      <c r="S7" s="8">
        <v>-22.025959180092801</v>
      </c>
      <c r="T7" s="8">
        <v>47</v>
      </c>
      <c r="U7" s="8">
        <v>-69.025959180092798</v>
      </c>
      <c r="V7" s="8">
        <v>12</v>
      </c>
      <c r="W7" s="8">
        <v>0</v>
      </c>
      <c r="X7" s="8">
        <v>-81.025959180092798</v>
      </c>
      <c r="Y7" s="8">
        <v>50</v>
      </c>
    </row>
  </sheetData>
  <autoFilter ref="A1:Y7" xr:uid="{00000000-0009-0000-0000-000006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D7D31"/>
  </sheetPr>
  <dimension ref="A1:N2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P16" sqref="P16"/>
    </sheetView>
  </sheetViews>
  <sheetFormatPr defaultRowHeight="15" x14ac:dyDescent="0.25"/>
  <cols>
    <col min="1" max="1" width="28" customWidth="1"/>
    <col min="2" max="14" width="13" customWidth="1"/>
  </cols>
  <sheetData>
    <row r="1" spans="1:14" x14ac:dyDescent="0.25">
      <c r="A1" s="9" t="s">
        <v>145</v>
      </c>
      <c r="B1" s="10" t="s">
        <v>34</v>
      </c>
      <c r="D1" s="27" t="s">
        <v>146</v>
      </c>
      <c r="E1" s="22"/>
      <c r="F1" s="22"/>
      <c r="G1" s="22"/>
      <c r="H1" s="22"/>
    </row>
    <row r="3" spans="1:14" x14ac:dyDescent="0.25">
      <c r="A3" s="11" t="s">
        <v>147</v>
      </c>
      <c r="B3" s="12">
        <v>46023</v>
      </c>
      <c r="C3" s="12">
        <v>46054</v>
      </c>
      <c r="D3" s="12">
        <v>46082</v>
      </c>
      <c r="E3" s="12">
        <v>46113</v>
      </c>
      <c r="F3" s="12">
        <v>46143</v>
      </c>
      <c r="G3" s="12">
        <v>46174</v>
      </c>
      <c r="H3" s="12">
        <v>46204</v>
      </c>
      <c r="I3" s="12">
        <v>46235</v>
      </c>
      <c r="J3" s="12">
        <v>46266</v>
      </c>
      <c r="K3" s="12">
        <v>46296</v>
      </c>
      <c r="L3" s="12">
        <v>46327</v>
      </c>
      <c r="M3" s="12">
        <v>46357</v>
      </c>
      <c r="N3" s="11" t="s">
        <v>148</v>
      </c>
    </row>
    <row r="4" spans="1:14" x14ac:dyDescent="0.25">
      <c r="A4" s="13" t="s">
        <v>124</v>
      </c>
      <c r="B4" s="19">
        <f>'2026 Actual YTD'!B2</f>
        <v>1368</v>
      </c>
      <c r="C4" s="19">
        <f>'2026 Actual YTD'!B3</f>
        <v>1365</v>
      </c>
      <c r="D4" s="19">
        <f>'2026 Actual YTD'!B4</f>
        <v>1362</v>
      </c>
      <c r="E4" s="19">
        <f>'2026 Actual YTD'!B5</f>
        <v>1362</v>
      </c>
      <c r="F4" s="19">
        <f>'2026 Actual YTD'!B6</f>
        <v>1365</v>
      </c>
      <c r="G4" s="19">
        <f>'2026 Actual YTD'!B7</f>
        <v>1367</v>
      </c>
      <c r="H4" s="20">
        <f t="shared" ref="H4:M4" si="0">G8</f>
        <v>1366</v>
      </c>
      <c r="I4" s="20">
        <f t="shared" si="0"/>
        <v>1368</v>
      </c>
      <c r="J4" s="20">
        <f t="shared" si="0"/>
        <v>1368</v>
      </c>
      <c r="K4" s="20">
        <f t="shared" si="0"/>
        <v>1366</v>
      </c>
      <c r="L4" s="20">
        <f t="shared" si="0"/>
        <v>1363</v>
      </c>
      <c r="M4" s="20">
        <f t="shared" si="0"/>
        <v>1360</v>
      </c>
      <c r="N4" s="21">
        <f>B4</f>
        <v>1368</v>
      </c>
    </row>
    <row r="5" spans="1:14" x14ac:dyDescent="0.25">
      <c r="A5" s="13" t="s">
        <v>125</v>
      </c>
      <c r="B5" s="19">
        <f>'2026 Actual YTD'!C2</f>
        <v>40</v>
      </c>
      <c r="C5" s="19">
        <f>'2026 Actual YTD'!C3</f>
        <v>39</v>
      </c>
      <c r="D5" s="19">
        <f>'2026 Actual YTD'!C4</f>
        <v>40</v>
      </c>
      <c r="E5" s="19">
        <f>'2026 Actual YTD'!C5</f>
        <v>42</v>
      </c>
      <c r="F5" s="19">
        <f>'2026 Actual YTD'!C6</f>
        <v>44</v>
      </c>
      <c r="G5" s="19">
        <f>'2026 Actual YTD'!C7</f>
        <v>41</v>
      </c>
      <c r="H5" s="20">
        <f>ROUND('2026 Budget'!C8*SUMIFS(Assumptions!$C:$C,Assumptions!$A:$A,$B$1,Assumptions!$B:$B,"New customer multiplier"),0)</f>
        <v>44</v>
      </c>
      <c r="I5" s="20">
        <f>ROUND('2026 Budget'!C9*SUMIFS(Assumptions!$C:$C,Assumptions!$A:$A,$B$1,Assumptions!$B:$B,"New customer multiplier"),0)</f>
        <v>42</v>
      </c>
      <c r="J5" s="20">
        <f>ROUND('2026 Budget'!C10*SUMIFS(Assumptions!$C:$C,Assumptions!$A:$A,$B$1,Assumptions!$B:$B,"New customer multiplier"),0)</f>
        <v>40</v>
      </c>
      <c r="K5" s="20">
        <f>ROUND('2026 Budget'!C11*SUMIFS(Assumptions!$C:$C,Assumptions!$A:$A,$B$1,Assumptions!$B:$B,"New customer multiplier"),0)</f>
        <v>39</v>
      </c>
      <c r="L5" s="20">
        <f>ROUND('2026 Budget'!C12*SUMIFS(Assumptions!$C:$C,Assumptions!$A:$A,$B$1,Assumptions!$B:$B,"New customer multiplier"),0)</f>
        <v>39</v>
      </c>
      <c r="M5" s="20">
        <f>ROUND('2026 Budget'!C13*SUMIFS(Assumptions!$C:$C,Assumptions!$A:$A,$B$1,Assumptions!$B:$B,"New customer multiplier"),0)</f>
        <v>39</v>
      </c>
      <c r="N5" s="21">
        <f>SUM(B5:M5)</f>
        <v>489</v>
      </c>
    </row>
    <row r="6" spans="1:14" x14ac:dyDescent="0.25">
      <c r="A6" s="13" t="s">
        <v>127</v>
      </c>
      <c r="B6" s="19">
        <f>'2026 Actual YTD'!E2</f>
        <v>3.1097533082974149E-2</v>
      </c>
      <c r="C6" s="19">
        <f>'2026 Actual YTD'!E3</f>
        <v>3.0763597813120491E-2</v>
      </c>
      <c r="D6" s="19">
        <f>'2026 Actual YTD'!E4</f>
        <v>2.969013942978637E-2</v>
      </c>
      <c r="E6" s="19">
        <f>'2026 Actual YTD'!E5</f>
        <v>2.875388402054346E-2</v>
      </c>
      <c r="F6" s="19">
        <f>'2026 Actual YTD'!E6</f>
        <v>3.0821908467658619E-2</v>
      </c>
      <c r="G6" s="19">
        <f>'2026 Actual YTD'!E7</f>
        <v>3.07641441062034E-2</v>
      </c>
      <c r="H6" s="20">
        <f>'2026 Actual YTD'!E7*SUMIFS(Assumptions!$C:$C,Assumptions!$A:$A,$B$1,Assumptions!$B:$B,"Churn-rate multiplier")</f>
        <v>3.07641441062034E-2</v>
      </c>
      <c r="I6" s="20">
        <f>'2026 Actual YTD'!E7*SUMIFS(Assumptions!$C:$C,Assumptions!$A:$A,$B$1,Assumptions!$B:$B,"Churn-rate multiplier")</f>
        <v>3.07641441062034E-2</v>
      </c>
      <c r="J6" s="20">
        <f>'2026 Actual YTD'!E7*SUMIFS(Assumptions!$C:$C,Assumptions!$A:$A,$B$1,Assumptions!$B:$B,"Churn-rate multiplier")</f>
        <v>3.07641441062034E-2</v>
      </c>
      <c r="K6" s="20">
        <f>'2026 Actual YTD'!E7*SUMIFS(Assumptions!$C:$C,Assumptions!$A:$A,$B$1,Assumptions!$B:$B,"Churn-rate multiplier")</f>
        <v>3.07641441062034E-2</v>
      </c>
      <c r="L6" s="20">
        <f>'2026 Actual YTD'!E7*SUMIFS(Assumptions!$C:$C,Assumptions!$A:$A,$B$1,Assumptions!$B:$B,"Churn-rate multiplier")</f>
        <v>3.07641441062034E-2</v>
      </c>
      <c r="M6" s="20">
        <f>'2026 Actual YTD'!E7*SUMIFS(Assumptions!$C:$C,Assumptions!$A:$A,$B$1,Assumptions!$B:$B,"Churn-rate multiplier")</f>
        <v>3.07641441062034E-2</v>
      </c>
      <c r="N6" s="21">
        <f>AVERAGE(B6:M6)</f>
        <v>3.0539672629792246E-2</v>
      </c>
    </row>
    <row r="7" spans="1:14" x14ac:dyDescent="0.25">
      <c r="A7" s="13" t="s">
        <v>126</v>
      </c>
      <c r="B7" s="19">
        <f>'2026 Actual YTD'!D2</f>
        <v>43</v>
      </c>
      <c r="C7" s="19">
        <f>'2026 Actual YTD'!D3</f>
        <v>42</v>
      </c>
      <c r="D7" s="19">
        <f>'2026 Actual YTD'!D4</f>
        <v>40</v>
      </c>
      <c r="E7" s="19">
        <f>'2026 Actual YTD'!D5</f>
        <v>39</v>
      </c>
      <c r="F7" s="19">
        <f>'2026 Actual YTD'!D6</f>
        <v>42</v>
      </c>
      <c r="G7" s="19">
        <f>'2026 Actual YTD'!D7</f>
        <v>42</v>
      </c>
      <c r="H7" s="20">
        <f t="shared" ref="H7:M7" si="1">ROUND(H4*H6,0)</f>
        <v>42</v>
      </c>
      <c r="I7" s="20">
        <f t="shared" si="1"/>
        <v>42</v>
      </c>
      <c r="J7" s="20">
        <f t="shared" si="1"/>
        <v>42</v>
      </c>
      <c r="K7" s="20">
        <f t="shared" si="1"/>
        <v>42</v>
      </c>
      <c r="L7" s="20">
        <f t="shared" si="1"/>
        <v>42</v>
      </c>
      <c r="M7" s="20">
        <f t="shared" si="1"/>
        <v>42</v>
      </c>
      <c r="N7" s="21">
        <f>SUM(B7:M7)</f>
        <v>500</v>
      </c>
    </row>
    <row r="8" spans="1:14" x14ac:dyDescent="0.25">
      <c r="A8" s="13" t="s">
        <v>37</v>
      </c>
      <c r="B8" s="14">
        <f>'2026 Actual YTD'!F2</f>
        <v>1365</v>
      </c>
      <c r="C8" s="14">
        <f>'2026 Actual YTD'!F3</f>
        <v>1362</v>
      </c>
      <c r="D8" s="14">
        <f>'2026 Actual YTD'!F4</f>
        <v>1362</v>
      </c>
      <c r="E8" s="14">
        <f>'2026 Actual YTD'!F5</f>
        <v>1365</v>
      </c>
      <c r="F8" s="14">
        <f>'2026 Actual YTD'!F6</f>
        <v>1367</v>
      </c>
      <c r="G8" s="14">
        <f>'2026 Actual YTD'!F7</f>
        <v>1366</v>
      </c>
      <c r="H8" s="15">
        <f t="shared" ref="H8:M8" si="2">H4+H5-H7</f>
        <v>1368</v>
      </c>
      <c r="I8" s="15">
        <f t="shared" si="2"/>
        <v>1368</v>
      </c>
      <c r="J8" s="15">
        <f t="shared" si="2"/>
        <v>1366</v>
      </c>
      <c r="K8" s="15">
        <f t="shared" si="2"/>
        <v>1363</v>
      </c>
      <c r="L8" s="15">
        <f t="shared" si="2"/>
        <v>1360</v>
      </c>
      <c r="M8" s="15">
        <f t="shared" si="2"/>
        <v>1357</v>
      </c>
      <c r="N8" s="16">
        <f>M8</f>
        <v>1357</v>
      </c>
    </row>
    <row r="9" spans="1:14" x14ac:dyDescent="0.25">
      <c r="A9" s="13" t="s">
        <v>128</v>
      </c>
      <c r="B9" s="14">
        <f>'2026 Actual YTD'!G2</f>
        <v>0.81216937611227957</v>
      </c>
      <c r="C9" s="14">
        <f>'2026 Actual YTD'!G3</f>
        <v>0.80803987278418388</v>
      </c>
      <c r="D9" s="14">
        <f>'2026 Actual YTD'!G4</f>
        <v>0.80862334526852664</v>
      </c>
      <c r="E9" s="14">
        <f>'2026 Actual YTD'!G5</f>
        <v>0.81272279979472706</v>
      </c>
      <c r="F9" s="14">
        <f>'2026 Actual YTD'!G6</f>
        <v>0.80830588159777061</v>
      </c>
      <c r="G9" s="14">
        <f>'2026 Actual YTD'!G7</f>
        <v>0.81125084561654559</v>
      </c>
      <c r="H9" s="15">
        <f>'2026 Actual YTD'!G7*SUMIFS(Assumptions!$C:$C,Assumptions!$A:$A,$B$1,Assumptions!$B:$B,"ARPU multiplier")</f>
        <v>0.81125084561654559</v>
      </c>
      <c r="I9" s="15">
        <f>'2026 Actual YTD'!G7*SUMIFS(Assumptions!$C:$C,Assumptions!$A:$A,$B$1,Assumptions!$B:$B,"ARPU multiplier")</f>
        <v>0.81125084561654559</v>
      </c>
      <c r="J9" s="15">
        <f>'2026 Actual YTD'!G7*SUMIFS(Assumptions!$C:$C,Assumptions!$A:$A,$B$1,Assumptions!$B:$B,"ARPU multiplier")</f>
        <v>0.81125084561654559</v>
      </c>
      <c r="K9" s="15">
        <f>'2026 Actual YTD'!G7*SUMIFS(Assumptions!$C:$C,Assumptions!$A:$A,$B$1,Assumptions!$B:$B,"ARPU multiplier")</f>
        <v>0.81125084561654559</v>
      </c>
      <c r="L9" s="15">
        <f>'2026 Actual YTD'!G7*SUMIFS(Assumptions!$C:$C,Assumptions!$A:$A,$B$1,Assumptions!$B:$B,"ARPU multiplier")</f>
        <v>0.81125084561654559</v>
      </c>
      <c r="M9" s="15">
        <f>'2026 Actual YTD'!G7*SUMIFS(Assumptions!$C:$C,Assumptions!$A:$A,$B$1,Assumptions!$B:$B,"ARPU multiplier")</f>
        <v>0.81125084561654559</v>
      </c>
      <c r="N9" s="16">
        <f>AVERAGE(B9:M9)</f>
        <v>0.81071809957277552</v>
      </c>
    </row>
    <row r="10" spans="1:14" x14ac:dyDescent="0.25">
      <c r="A10" s="2" t="s">
        <v>129</v>
      </c>
      <c r="B10" s="14">
        <f>'2026 Actual YTD'!H2</f>
        <v>1139.8294524574301</v>
      </c>
      <c r="C10" s="14">
        <f>'2026 Actual YTD'!H3</f>
        <v>1131.762366541235</v>
      </c>
      <c r="D10" s="14">
        <f>'2026 Actual YTD'!H4</f>
        <v>1131.3449962557329</v>
      </c>
      <c r="E10" s="14">
        <f>'2026 Actual YTD'!H5</f>
        <v>1138.1475375201101</v>
      </c>
      <c r="F10" s="14">
        <f>'2026 Actual YTD'!H6</f>
        <v>1134.1458342625549</v>
      </c>
      <c r="G10" s="14">
        <f>'2026 Actual YTD'!H7</f>
        <v>1138.5742805350101</v>
      </c>
      <c r="H10" s="15">
        <f t="shared" ref="H10:M10" si="3">((H4+H8)/2)*H9+30</f>
        <v>1138.9799059578179</v>
      </c>
      <c r="I10" s="15">
        <f t="shared" si="3"/>
        <v>1139.7911568034344</v>
      </c>
      <c r="J10" s="15">
        <f t="shared" si="3"/>
        <v>1138.9799059578179</v>
      </c>
      <c r="K10" s="15">
        <f t="shared" si="3"/>
        <v>1136.9517788437765</v>
      </c>
      <c r="L10" s="15">
        <f t="shared" si="3"/>
        <v>1134.5180263069269</v>
      </c>
      <c r="M10" s="15">
        <f t="shared" si="3"/>
        <v>1132.0842737700773</v>
      </c>
      <c r="N10" s="16">
        <f>SUM(B10:M10)</f>
        <v>13635.109515211925</v>
      </c>
    </row>
    <row r="11" spans="1:14" x14ac:dyDescent="0.25">
      <c r="A11" s="13" t="s">
        <v>131</v>
      </c>
      <c r="B11" s="14">
        <f>'2026 Actual YTD'!K2</f>
        <v>282.21167024261888</v>
      </c>
      <c r="C11" s="14">
        <f>'2026 Actual YTD'!K3</f>
        <v>283.07617115717898</v>
      </c>
      <c r="D11" s="14">
        <f>'2026 Actual YTD'!K4</f>
        <v>284.02513851321231</v>
      </c>
      <c r="E11" s="14">
        <f>'2026 Actual YTD'!K5</f>
        <v>281.44053388401869</v>
      </c>
      <c r="F11" s="14">
        <f>'2026 Actual YTD'!K6</f>
        <v>284.9443379284815</v>
      </c>
      <c r="G11" s="14">
        <f>'2026 Actual YTD'!K7</f>
        <v>285.28187419793301</v>
      </c>
      <c r="H11" s="15">
        <f>H10*SUMIFS(Assumptions!$C:$C,Assumptions!$A:$A,"Budget",Assumptions!$B:$B,"Variable COGS")+SUMIFS(Assumptions!$C:$C,Assumptions!$A:$A,"Budget",Assumptions!$B:$B,"Fixed support COGS")</f>
        <v>274.23678495325089</v>
      </c>
      <c r="I11" s="15">
        <f>I10*SUMIFS(Assumptions!$C:$C,Assumptions!$A:$A,"Budget",Assumptions!$B:$B,"Variable COGS")+SUMIFS(Assumptions!$C:$C,Assumptions!$A:$A,"Budget",Assumptions!$B:$B,"Fixed support COGS")</f>
        <v>274.36658508854953</v>
      </c>
      <c r="J11" s="15">
        <f>J10*SUMIFS(Assumptions!$C:$C,Assumptions!$A:$A,"Budget",Assumptions!$B:$B,"Variable COGS")+SUMIFS(Assumptions!$C:$C,Assumptions!$A:$A,"Budget",Assumptions!$B:$B,"Fixed support COGS")</f>
        <v>274.23678495325089</v>
      </c>
      <c r="K11" s="15">
        <f>K10*SUMIFS(Assumptions!$C:$C,Assumptions!$A:$A,"Budget",Assumptions!$B:$B,"Variable COGS")+SUMIFS(Assumptions!$C:$C,Assumptions!$A:$A,"Budget",Assumptions!$B:$B,"Fixed support COGS")</f>
        <v>273.91228461500424</v>
      </c>
      <c r="L11" s="15">
        <f>L10*SUMIFS(Assumptions!$C:$C,Assumptions!$A:$A,"Budget",Assumptions!$B:$B,"Variable COGS")+SUMIFS(Assumptions!$C:$C,Assumptions!$A:$A,"Budget",Assumptions!$B:$B,"Fixed support COGS")</f>
        <v>273.52288420910827</v>
      </c>
      <c r="M11" s="15">
        <f>M10*SUMIFS(Assumptions!$C:$C,Assumptions!$A:$A,"Budget",Assumptions!$B:$B,"Variable COGS")+SUMIFS(Assumptions!$C:$C,Assumptions!$A:$A,"Budget",Assumptions!$B:$B,"Fixed support COGS")</f>
        <v>273.13348380321236</v>
      </c>
      <c r="N11" s="16">
        <f>SUM(B11:M11)</f>
        <v>3344.3885335458199</v>
      </c>
    </row>
    <row r="12" spans="1:14" x14ac:dyDescent="0.25">
      <c r="A12" s="2" t="s">
        <v>132</v>
      </c>
      <c r="B12" s="14">
        <f>'2026 Actual YTD'!L2</f>
        <v>857.6177822148112</v>
      </c>
      <c r="C12" s="14">
        <f>'2026 Actual YTD'!L3</f>
        <v>848.68619538405574</v>
      </c>
      <c r="D12" s="14">
        <f>'2026 Actual YTD'!L4</f>
        <v>847.31985774252098</v>
      </c>
      <c r="E12" s="14">
        <f>'2026 Actual YTD'!L5</f>
        <v>856.70700363609149</v>
      </c>
      <c r="F12" s="14">
        <f>'2026 Actual YTD'!L6</f>
        <v>849.20149633407323</v>
      </c>
      <c r="G12" s="14">
        <f>'2026 Actual YTD'!L7</f>
        <v>853.29240633707661</v>
      </c>
      <c r="H12" s="15">
        <f t="shared" ref="H12:M12" si="4">H10-H11</f>
        <v>864.743121004567</v>
      </c>
      <c r="I12" s="15">
        <f t="shared" si="4"/>
        <v>865.42457171488491</v>
      </c>
      <c r="J12" s="15">
        <f t="shared" si="4"/>
        <v>864.743121004567</v>
      </c>
      <c r="K12" s="15">
        <f t="shared" si="4"/>
        <v>863.03949422877236</v>
      </c>
      <c r="L12" s="15">
        <f t="shared" si="4"/>
        <v>860.99514209781864</v>
      </c>
      <c r="M12" s="15">
        <f t="shared" si="4"/>
        <v>858.95078996686493</v>
      </c>
      <c r="N12" s="16">
        <f>SUM(B12:M12)</f>
        <v>10290.720981666105</v>
      </c>
    </row>
    <row r="13" spans="1:14" x14ac:dyDescent="0.25">
      <c r="A13" s="13" t="s">
        <v>149</v>
      </c>
      <c r="B13" s="17">
        <f t="shared" ref="B13:M13" si="5">IFERROR(B12/B10,0)</f>
        <v>0.75240886289244324</v>
      </c>
      <c r="C13" s="17">
        <f t="shared" si="5"/>
        <v>0.74988020495655383</v>
      </c>
      <c r="D13" s="17">
        <f t="shared" si="5"/>
        <v>0.74894913624649118</v>
      </c>
      <c r="E13" s="17">
        <f t="shared" si="5"/>
        <v>0.75272051767801174</v>
      </c>
      <c r="F13" s="17">
        <f t="shared" si="5"/>
        <v>0.74875864344750831</v>
      </c>
      <c r="G13" s="17">
        <f t="shared" si="5"/>
        <v>0.74943938302920299</v>
      </c>
      <c r="H13" s="5">
        <f t="shared" si="5"/>
        <v>0.75922596744792159</v>
      </c>
      <c r="I13" s="5">
        <f t="shared" si="5"/>
        <v>0.75928345868376823</v>
      </c>
      <c r="J13" s="5">
        <f t="shared" si="5"/>
        <v>0.75922596744792159</v>
      </c>
      <c r="K13" s="5">
        <f t="shared" si="5"/>
        <v>0.75908188041751479</v>
      </c>
      <c r="L13" s="5">
        <f t="shared" si="5"/>
        <v>0.75890829597527198</v>
      </c>
      <c r="M13" s="5">
        <f t="shared" si="5"/>
        <v>0.75873396519004654</v>
      </c>
      <c r="N13" s="18">
        <f>N12/N10</f>
        <v>0.75472228295528732</v>
      </c>
    </row>
    <row r="14" spans="1:14" x14ac:dyDescent="0.25">
      <c r="A14" s="13" t="s">
        <v>136</v>
      </c>
      <c r="B14" s="14">
        <f>'2026 Actual YTD'!P2</f>
        <v>345.91777068821671</v>
      </c>
      <c r="C14" s="14">
        <f>'2026 Actual YTD'!P3</f>
        <v>345.9832843443877</v>
      </c>
      <c r="D14" s="14">
        <f>'2026 Actual YTD'!P4</f>
        <v>347.56088992721828</v>
      </c>
      <c r="E14" s="14">
        <f>'2026 Actual YTD'!P5</f>
        <v>349.60509255903298</v>
      </c>
      <c r="F14" s="14">
        <f>'2026 Actual YTD'!P6</f>
        <v>359.82212186512999</v>
      </c>
      <c r="G14" s="14">
        <f>'2026 Actual YTD'!P7</f>
        <v>362.09422374277818</v>
      </c>
      <c r="H14" s="15">
        <f>'2026 Budget'!P8*SUMIFS(Assumptions!$C:$C,Assumptions!$A:$A,$B$1,Assumptions!$B:$B,"Discretionary opex multiplier")</f>
        <v>348.81200000000001</v>
      </c>
      <c r="I14" s="15">
        <f>'2026 Budget'!P9*SUMIFS(Assumptions!$C:$C,Assumptions!$A:$A,$B$1,Assumptions!$B:$B,"Discretionary opex multiplier")</f>
        <v>348.81200000000001</v>
      </c>
      <c r="J14" s="15">
        <f>'2026 Budget'!P10*SUMIFS(Assumptions!$C:$C,Assumptions!$A:$A,$B$1,Assumptions!$B:$B,"Discretionary opex multiplier")</f>
        <v>357.6875</v>
      </c>
      <c r="K14" s="15">
        <f>'2026 Budget'!P11*SUMIFS(Assumptions!$C:$C,Assumptions!$A:$A,$B$1,Assumptions!$B:$B,"Discretionary opex multiplier")</f>
        <v>357.6875</v>
      </c>
      <c r="L14" s="15">
        <f>'2026 Budget'!P12*SUMIFS(Assumptions!$C:$C,Assumptions!$A:$A,$B$1,Assumptions!$B:$B,"Discretionary opex multiplier")</f>
        <v>357.6875</v>
      </c>
      <c r="M14" s="15">
        <f>'2026 Budget'!P13*SUMIFS(Assumptions!$C:$C,Assumptions!$A:$A,$B$1,Assumptions!$B:$B,"Discretionary opex multiplier")</f>
        <v>357.6875</v>
      </c>
      <c r="N14" s="16">
        <f>SUM(B14:M14)</f>
        <v>4239.357383126764</v>
      </c>
    </row>
    <row r="15" spans="1:14" x14ac:dyDescent="0.25">
      <c r="A15" s="13" t="s">
        <v>137</v>
      </c>
      <c r="B15" s="14">
        <f>'2026 Actual YTD'!Q2</f>
        <v>328.07546727528211</v>
      </c>
      <c r="C15" s="14">
        <f>'2026 Actual YTD'!Q3</f>
        <v>329.94660248992778</v>
      </c>
      <c r="D15" s="14">
        <f>'2026 Actual YTD'!Q4</f>
        <v>330.05700810943142</v>
      </c>
      <c r="E15" s="14">
        <f>'2026 Actual YTD'!Q5</f>
        <v>338.90087046487491</v>
      </c>
      <c r="F15" s="14">
        <f>'2026 Actual YTD'!Q6</f>
        <v>335.21099585338487</v>
      </c>
      <c r="G15" s="14">
        <f>'2026 Actual YTD'!Q7</f>
        <v>335.21282088505512</v>
      </c>
      <c r="H15" s="15">
        <f>'2026 Budget'!Q8*SUMIFS(Assumptions!$C:$C,Assumptions!$A:$A,$B$1,Assumptions!$B:$B,"Discretionary opex multiplier")</f>
        <v>337.36599999999999</v>
      </c>
      <c r="I15" s="15">
        <f>'2026 Budget'!Q9*SUMIFS(Assumptions!$C:$C,Assumptions!$A:$A,$B$1,Assumptions!$B:$B,"Discretionary opex multiplier")</f>
        <v>337.36599999999999</v>
      </c>
      <c r="J15" s="15">
        <f>'2026 Budget'!Q10*SUMIFS(Assumptions!$C:$C,Assumptions!$A:$A,$B$1,Assumptions!$B:$B,"Discretionary opex multiplier")</f>
        <v>337.36599999999999</v>
      </c>
      <c r="K15" s="15">
        <f>'2026 Budget'!Q11*SUMIFS(Assumptions!$C:$C,Assumptions!$A:$A,$B$1,Assumptions!$B:$B,"Discretionary opex multiplier")</f>
        <v>337.36599999999999</v>
      </c>
      <c r="L15" s="15">
        <f>'2026 Budget'!Q12*SUMIFS(Assumptions!$C:$C,Assumptions!$A:$A,$B$1,Assumptions!$B:$B,"Discretionary opex multiplier")</f>
        <v>337.36599999999999</v>
      </c>
      <c r="M15" s="15">
        <f>'2026 Budget'!Q13*SUMIFS(Assumptions!$C:$C,Assumptions!$A:$A,$B$1,Assumptions!$B:$B,"Discretionary opex multiplier")</f>
        <v>337.36599999999999</v>
      </c>
      <c r="N15" s="16">
        <f>SUM(B15:M15)</f>
        <v>4021.5997650779564</v>
      </c>
    </row>
    <row r="16" spans="1:14" x14ac:dyDescent="0.25">
      <c r="A16" s="13" t="s">
        <v>138</v>
      </c>
      <c r="B16" s="14">
        <f>'2026 Actual YTD'!R2</f>
        <v>180.8415646394829</v>
      </c>
      <c r="C16" s="14">
        <f>'2026 Actual YTD'!R3</f>
        <v>182.574752617396</v>
      </c>
      <c r="D16" s="14">
        <f>'2026 Actual YTD'!R4</f>
        <v>182.97404111502749</v>
      </c>
      <c r="E16" s="14">
        <f>'2026 Actual YTD'!R5</f>
        <v>178.36235041009931</v>
      </c>
      <c r="F16" s="14">
        <f>'2026 Actual YTD'!R6</f>
        <v>179.3772589265856</v>
      </c>
      <c r="G16" s="14">
        <f>'2026 Actual YTD'!R7</f>
        <v>178.0113208893361</v>
      </c>
      <c r="H16" s="15">
        <f>'2026 Budget'!R8*SUMIFS(Assumptions!$C:$C,Assumptions!$A:$A,$B$1,Assumptions!$B:$B,"Discretionary opex multiplier")</f>
        <v>172.46600000000001</v>
      </c>
      <c r="I16" s="15">
        <f>'2026 Budget'!R9*SUMIFS(Assumptions!$C:$C,Assumptions!$A:$A,$B$1,Assumptions!$B:$B,"Discretionary opex multiplier")</f>
        <v>181.3415</v>
      </c>
      <c r="J16" s="15">
        <f>'2026 Budget'!R10*SUMIFS(Assumptions!$C:$C,Assumptions!$A:$A,$B$1,Assumptions!$B:$B,"Discretionary opex multiplier")</f>
        <v>181.3415</v>
      </c>
      <c r="K16" s="15">
        <f>'2026 Budget'!R11*SUMIFS(Assumptions!$C:$C,Assumptions!$A:$A,$B$1,Assumptions!$B:$B,"Discretionary opex multiplier")</f>
        <v>181.3415</v>
      </c>
      <c r="L16" s="15">
        <f>'2026 Budget'!R12*SUMIFS(Assumptions!$C:$C,Assumptions!$A:$A,$B$1,Assumptions!$B:$B,"Discretionary opex multiplier")</f>
        <v>181.3415</v>
      </c>
      <c r="M16" s="15">
        <f>'2026 Budget'!R13*SUMIFS(Assumptions!$C:$C,Assumptions!$A:$A,$B$1,Assumptions!$B:$B,"Discretionary opex multiplier")</f>
        <v>181.3415</v>
      </c>
      <c r="N16" s="16">
        <f>SUM(B16:M16)</f>
        <v>2161.3147885979274</v>
      </c>
    </row>
    <row r="17" spans="1:14" x14ac:dyDescent="0.25">
      <c r="A17" s="2" t="s">
        <v>139</v>
      </c>
      <c r="B17" s="14">
        <f>'2026 Actual YTD'!S2</f>
        <v>2.7829796118294889</v>
      </c>
      <c r="C17" s="14">
        <f>'2026 Actual YTD'!S3</f>
        <v>-9.8184440676558324</v>
      </c>
      <c r="D17" s="14">
        <f>'2026 Actual YTD'!S4</f>
        <v>-13.272081409156129</v>
      </c>
      <c r="E17" s="14">
        <f>'2026 Actual YTD'!S5</f>
        <v>-10.16130979791569</v>
      </c>
      <c r="F17" s="14">
        <f>'2026 Actual YTD'!S6</f>
        <v>-25.208880311027311</v>
      </c>
      <c r="G17" s="14">
        <f>'2026 Actual YTD'!S7</f>
        <v>-22.025959180092801</v>
      </c>
      <c r="H17" s="15">
        <f t="shared" ref="H17:M17" si="6">H12-SUM(H14:H16)</f>
        <v>6.0991210045669959</v>
      </c>
      <c r="I17" s="15">
        <f t="shared" si="6"/>
        <v>-2.0949282851150883</v>
      </c>
      <c r="J17" s="15">
        <f t="shared" si="6"/>
        <v>-11.65187899543298</v>
      </c>
      <c r="K17" s="15">
        <f t="shared" si="6"/>
        <v>-13.355505771227627</v>
      </c>
      <c r="L17" s="15">
        <f t="shared" si="6"/>
        <v>-15.399857902181338</v>
      </c>
      <c r="M17" s="15">
        <f t="shared" si="6"/>
        <v>-17.44421003313505</v>
      </c>
      <c r="N17" s="16">
        <f>SUM(B17:M17)</f>
        <v>-131.55095513654337</v>
      </c>
    </row>
    <row r="18" spans="1:14" x14ac:dyDescent="0.25">
      <c r="A18" s="13" t="s">
        <v>150</v>
      </c>
      <c r="B18" s="17">
        <f t="shared" ref="B18:M18" si="7">IFERROR(B17/B10,0)</f>
        <v>2.4415754530903618E-3</v>
      </c>
      <c r="C18" s="17">
        <f t="shared" si="7"/>
        <v>-8.6753583242583504E-3</v>
      </c>
      <c r="D18" s="17">
        <f t="shared" si="7"/>
        <v>-1.1731241533821275E-2</v>
      </c>
      <c r="E18" s="17">
        <f t="shared" si="7"/>
        <v>-8.9279372514884953E-3</v>
      </c>
      <c r="F18" s="17">
        <f t="shared" si="7"/>
        <v>-2.2227194730577701E-2</v>
      </c>
      <c r="G18" s="17">
        <f t="shared" si="7"/>
        <v>-1.9345210546775148E-2</v>
      </c>
      <c r="H18" s="5">
        <f t="shared" si="7"/>
        <v>5.3548978104560841E-3</v>
      </c>
      <c r="I18" s="5">
        <f t="shared" si="7"/>
        <v>-1.8379931030438538E-3</v>
      </c>
      <c r="J18" s="5">
        <f t="shared" si="7"/>
        <v>-1.0230100579021547E-2</v>
      </c>
      <c r="K18" s="5">
        <f t="shared" si="7"/>
        <v>-1.1746765359573572E-2</v>
      </c>
      <c r="L18" s="5">
        <f t="shared" si="7"/>
        <v>-1.357392085898434E-2</v>
      </c>
      <c r="M18" s="5">
        <f t="shared" si="7"/>
        <v>-1.5408932388966224E-2</v>
      </c>
      <c r="N18" s="18">
        <f>N17/N10</f>
        <v>-9.6479573552217795E-3</v>
      </c>
    </row>
    <row r="19" spans="1:14" x14ac:dyDescent="0.25">
      <c r="A19" s="13" t="s">
        <v>67</v>
      </c>
      <c r="B19" s="14">
        <f>'2026 Actual YTD'!T2</f>
        <v>47</v>
      </c>
      <c r="C19" s="14">
        <f>'2026 Actual YTD'!T3</f>
        <v>47</v>
      </c>
      <c r="D19" s="14">
        <f>'2026 Actual YTD'!T4</f>
        <v>47</v>
      </c>
      <c r="E19" s="14">
        <f>'2026 Actual YTD'!T5</f>
        <v>47</v>
      </c>
      <c r="F19" s="14">
        <f>'2026 Actual YTD'!T6</f>
        <v>47</v>
      </c>
      <c r="G19" s="14">
        <f>'2026 Actual YTD'!T7</f>
        <v>47</v>
      </c>
      <c r="H19" s="15">
        <f>'2026 Budget'!T8</f>
        <v>48</v>
      </c>
      <c r="I19" s="15">
        <f>'2026 Budget'!T9</f>
        <v>48</v>
      </c>
      <c r="J19" s="15">
        <f>'2026 Budget'!T10</f>
        <v>48</v>
      </c>
      <c r="K19" s="15">
        <f>'2026 Budget'!T11</f>
        <v>48</v>
      </c>
      <c r="L19" s="15">
        <f>'2026 Budget'!T12</f>
        <v>48</v>
      </c>
      <c r="M19" s="15">
        <f>'2026 Budget'!T13</f>
        <v>48</v>
      </c>
      <c r="N19" s="16">
        <f t="shared" ref="N19:N27" si="8">SUM(B19:M19)</f>
        <v>570</v>
      </c>
    </row>
    <row r="20" spans="1:14" x14ac:dyDescent="0.25">
      <c r="A20" s="13" t="s">
        <v>140</v>
      </c>
      <c r="B20" s="14">
        <f>'2026 Actual YTD'!U2</f>
        <v>-44.217020388170511</v>
      </c>
      <c r="C20" s="14">
        <f>'2026 Actual YTD'!U3</f>
        <v>-56.818444067655832</v>
      </c>
      <c r="D20" s="14">
        <f>'2026 Actual YTD'!U4</f>
        <v>-60.272081409156129</v>
      </c>
      <c r="E20" s="14">
        <f>'2026 Actual YTD'!U5</f>
        <v>-57.161309797915692</v>
      </c>
      <c r="F20" s="14">
        <f>'2026 Actual YTD'!U6</f>
        <v>-72.208880311027315</v>
      </c>
      <c r="G20" s="14">
        <f>'2026 Actual YTD'!U7</f>
        <v>-69.025959180092798</v>
      </c>
      <c r="H20" s="15">
        <f t="shared" ref="H20:M20" si="9">H17-H19</f>
        <v>-41.900878995433004</v>
      </c>
      <c r="I20" s="15">
        <f t="shared" si="9"/>
        <v>-50.094928285115088</v>
      </c>
      <c r="J20" s="15">
        <f t="shared" si="9"/>
        <v>-59.65187899543298</v>
      </c>
      <c r="K20" s="15">
        <f t="shared" si="9"/>
        <v>-61.355505771227627</v>
      </c>
      <c r="L20" s="15">
        <f t="shared" si="9"/>
        <v>-63.399857902181338</v>
      </c>
      <c r="M20" s="15">
        <f t="shared" si="9"/>
        <v>-65.44421003313505</v>
      </c>
      <c r="N20" s="16">
        <f t="shared" si="8"/>
        <v>-701.55095513654328</v>
      </c>
    </row>
    <row r="21" spans="1:14" x14ac:dyDescent="0.25">
      <c r="A21" s="13" t="s">
        <v>141</v>
      </c>
      <c r="B21" s="14">
        <f>'2026 Actual YTD'!V2</f>
        <v>12</v>
      </c>
      <c r="C21" s="14">
        <f>'2026 Actual YTD'!V3</f>
        <v>12</v>
      </c>
      <c r="D21" s="14">
        <f>'2026 Actual YTD'!V4</f>
        <v>12</v>
      </c>
      <c r="E21" s="14">
        <f>'2026 Actual YTD'!V5</f>
        <v>12</v>
      </c>
      <c r="F21" s="14">
        <f>'2026 Actual YTD'!V6</f>
        <v>12</v>
      </c>
      <c r="G21" s="14">
        <f>'2026 Actual YTD'!V7</f>
        <v>12</v>
      </c>
      <c r="H21" s="15">
        <f>'2026 Budget'!V8</f>
        <v>12</v>
      </c>
      <c r="I21" s="15">
        <f>'2026 Budget'!V9</f>
        <v>12</v>
      </c>
      <c r="J21" s="15">
        <f>'2026 Budget'!V10</f>
        <v>12</v>
      </c>
      <c r="K21" s="15">
        <f>'2026 Budget'!V11</f>
        <v>12</v>
      </c>
      <c r="L21" s="15">
        <f>'2026 Budget'!V12</f>
        <v>12</v>
      </c>
      <c r="M21" s="15">
        <f>'2026 Budget'!V13</f>
        <v>12</v>
      </c>
      <c r="N21" s="16">
        <f t="shared" si="8"/>
        <v>144</v>
      </c>
    </row>
    <row r="22" spans="1:14" x14ac:dyDescent="0.25">
      <c r="A22" s="13" t="s">
        <v>142</v>
      </c>
      <c r="B22" s="14">
        <f>'2026 Actual YTD'!W2</f>
        <v>0</v>
      </c>
      <c r="C22" s="14">
        <f>'2026 Actual YTD'!W3</f>
        <v>0</v>
      </c>
      <c r="D22" s="14">
        <f>'2026 Actual YTD'!W4</f>
        <v>0</v>
      </c>
      <c r="E22" s="14">
        <f>'2026 Actual YTD'!W5</f>
        <v>0</v>
      </c>
      <c r="F22" s="14">
        <f>'2026 Actual YTD'!W6</f>
        <v>0</v>
      </c>
      <c r="G22" s="14">
        <f>'2026 Actual YTD'!W7</f>
        <v>0</v>
      </c>
      <c r="H22" s="15">
        <f t="shared" ref="H22:M22" si="10">MAX(0,(H20-H21)*24%)</f>
        <v>0</v>
      </c>
      <c r="I22" s="15">
        <f t="shared" si="10"/>
        <v>0</v>
      </c>
      <c r="J22" s="15">
        <f t="shared" si="10"/>
        <v>0</v>
      </c>
      <c r="K22" s="15">
        <f t="shared" si="10"/>
        <v>0</v>
      </c>
      <c r="L22" s="15">
        <f t="shared" si="10"/>
        <v>0</v>
      </c>
      <c r="M22" s="15">
        <f t="shared" si="10"/>
        <v>0</v>
      </c>
      <c r="N22" s="16">
        <f t="shared" si="8"/>
        <v>0</v>
      </c>
    </row>
    <row r="23" spans="1:14" x14ac:dyDescent="0.25">
      <c r="A23" s="2" t="s">
        <v>143</v>
      </c>
      <c r="B23" s="14">
        <f>'2026 Actual YTD'!X2</f>
        <v>-56.217020388170511</v>
      </c>
      <c r="C23" s="14">
        <f>'2026 Actual YTD'!X3</f>
        <v>-68.818444067655832</v>
      </c>
      <c r="D23" s="14">
        <f>'2026 Actual YTD'!X4</f>
        <v>-72.272081409156129</v>
      </c>
      <c r="E23" s="14">
        <f>'2026 Actual YTD'!X5</f>
        <v>-69.161309797915692</v>
      </c>
      <c r="F23" s="14">
        <f>'2026 Actual YTD'!X6</f>
        <v>-84.208880311027315</v>
      </c>
      <c r="G23" s="14">
        <f>'2026 Actual YTD'!X7</f>
        <v>-81.025959180092798</v>
      </c>
      <c r="H23" s="15">
        <f t="shared" ref="H23:M23" si="11">H20-H21-H22</f>
        <v>-53.900878995433004</v>
      </c>
      <c r="I23" s="15">
        <f t="shared" si="11"/>
        <v>-62.094928285115088</v>
      </c>
      <c r="J23" s="15">
        <f t="shared" si="11"/>
        <v>-71.65187899543298</v>
      </c>
      <c r="K23" s="15">
        <f t="shared" si="11"/>
        <v>-73.355505771227627</v>
      </c>
      <c r="L23" s="15">
        <f t="shared" si="11"/>
        <v>-75.399857902181338</v>
      </c>
      <c r="M23" s="15">
        <f t="shared" si="11"/>
        <v>-77.44421003313505</v>
      </c>
      <c r="N23" s="16">
        <f t="shared" si="8"/>
        <v>-845.55095513654328</v>
      </c>
    </row>
    <row r="24" spans="1:14" x14ac:dyDescent="0.25">
      <c r="A24" s="13" t="s">
        <v>144</v>
      </c>
      <c r="B24" s="14">
        <f>'2026 Actual YTD'!Y2</f>
        <v>50</v>
      </c>
      <c r="C24" s="14">
        <f>'2026 Actual YTD'!Y3</f>
        <v>50</v>
      </c>
      <c r="D24" s="14">
        <f>'2026 Actual YTD'!Y4</f>
        <v>65</v>
      </c>
      <c r="E24" s="14">
        <f>'2026 Actual YTD'!Y5</f>
        <v>50</v>
      </c>
      <c r="F24" s="14">
        <f>'2026 Actual YTD'!Y6</f>
        <v>50</v>
      </c>
      <c r="G24" s="14">
        <f>'2026 Actual YTD'!Y7</f>
        <v>50</v>
      </c>
      <c r="H24" s="15">
        <f>'2026 Budget'!Y8</f>
        <v>55</v>
      </c>
      <c r="I24" s="15">
        <f>'2026 Budget'!Y9</f>
        <v>55</v>
      </c>
      <c r="J24" s="15">
        <f>'2026 Budget'!Y10</f>
        <v>55</v>
      </c>
      <c r="K24" s="15">
        <f>'2026 Budget'!Y11</f>
        <v>55</v>
      </c>
      <c r="L24" s="15">
        <f>'2026 Budget'!Y12</f>
        <v>55</v>
      </c>
      <c r="M24" s="15">
        <f>'2026 Budget'!Y13</f>
        <v>55</v>
      </c>
      <c r="N24" s="16">
        <f t="shared" si="8"/>
        <v>645</v>
      </c>
    </row>
    <row r="25" spans="1:14" x14ac:dyDescent="0.25">
      <c r="A25" s="13" t="s">
        <v>151</v>
      </c>
      <c r="B25" s="14">
        <f>2%*(B10-'Historical Actuals'!H25)</f>
        <v>2.8737478734794424</v>
      </c>
      <c r="C25" s="14">
        <f t="shared" ref="C25:M25" si="12">2%*(C10-B10)</f>
        <v>-0.16134171832390165</v>
      </c>
      <c r="D25" s="14">
        <f t="shared" si="12"/>
        <v>-8.3474057100420395E-3</v>
      </c>
      <c r="E25" s="14">
        <f t="shared" si="12"/>
        <v>0.13605082528754339</v>
      </c>
      <c r="F25" s="14">
        <f t="shared" si="12"/>
        <v>-8.0034065151103284E-2</v>
      </c>
      <c r="G25" s="14">
        <f t="shared" si="12"/>
        <v>8.8568925449103525E-2</v>
      </c>
      <c r="H25" s="15">
        <f t="shared" si="12"/>
        <v>8.1125084561563202E-3</v>
      </c>
      <c r="I25" s="15">
        <f t="shared" si="12"/>
        <v>1.6225016912330831E-2</v>
      </c>
      <c r="J25" s="15">
        <f t="shared" si="12"/>
        <v>-1.6225016912330831E-2</v>
      </c>
      <c r="K25" s="15">
        <f t="shared" si="12"/>
        <v>-4.0562542280827077E-2</v>
      </c>
      <c r="L25" s="15">
        <f t="shared" si="12"/>
        <v>-4.8675050736992492E-2</v>
      </c>
      <c r="M25" s="15">
        <f t="shared" si="12"/>
        <v>-4.8675050736992492E-2</v>
      </c>
      <c r="N25" s="16">
        <f t="shared" si="8"/>
        <v>2.7188442997323863</v>
      </c>
    </row>
    <row r="26" spans="1:14" x14ac:dyDescent="0.25">
      <c r="A26" s="13" t="s">
        <v>152</v>
      </c>
      <c r="B26" s="14">
        <f t="shared" ref="B26:M26" si="13">B23+B19-B25</f>
        <v>-12.090768261649952</v>
      </c>
      <c r="C26" s="14">
        <f t="shared" si="13"/>
        <v>-21.657102349331932</v>
      </c>
      <c r="D26" s="14">
        <f t="shared" si="13"/>
        <v>-25.263734003446089</v>
      </c>
      <c r="E26" s="14">
        <f t="shared" si="13"/>
        <v>-22.297360623203236</v>
      </c>
      <c r="F26" s="14">
        <f t="shared" si="13"/>
        <v>-37.128846245876211</v>
      </c>
      <c r="G26" s="14">
        <f t="shared" si="13"/>
        <v>-34.114528105541901</v>
      </c>
      <c r="H26" s="15">
        <f t="shared" si="13"/>
        <v>-5.9089915038891601</v>
      </c>
      <c r="I26" s="15">
        <f t="shared" si="13"/>
        <v>-14.11115330202742</v>
      </c>
      <c r="J26" s="15">
        <f t="shared" si="13"/>
        <v>-23.635653978520651</v>
      </c>
      <c r="K26" s="15">
        <f t="shared" si="13"/>
        <v>-25.314943228946799</v>
      </c>
      <c r="L26" s="15">
        <f t="shared" si="13"/>
        <v>-27.351182851444346</v>
      </c>
      <c r="M26" s="15">
        <f t="shared" si="13"/>
        <v>-29.395534982398058</v>
      </c>
      <c r="N26" s="16">
        <f t="shared" si="8"/>
        <v>-278.26979943627572</v>
      </c>
    </row>
    <row r="27" spans="1:14" x14ac:dyDescent="0.25">
      <c r="A27" s="2" t="s">
        <v>153</v>
      </c>
      <c r="B27" s="14">
        <f t="shared" ref="B27:M27" si="14">B26-B24</f>
        <v>-62.090768261649956</v>
      </c>
      <c r="C27" s="14">
        <f t="shared" si="14"/>
        <v>-71.657102349331936</v>
      </c>
      <c r="D27" s="14">
        <f t="shared" si="14"/>
        <v>-90.263734003446089</v>
      </c>
      <c r="E27" s="14">
        <f t="shared" si="14"/>
        <v>-72.297360623203232</v>
      </c>
      <c r="F27" s="14">
        <f t="shared" si="14"/>
        <v>-87.128846245876218</v>
      </c>
      <c r="G27" s="14">
        <f t="shared" si="14"/>
        <v>-84.114528105541893</v>
      </c>
      <c r="H27" s="15">
        <f t="shared" si="14"/>
        <v>-60.908991503889162</v>
      </c>
      <c r="I27" s="15">
        <f t="shared" si="14"/>
        <v>-69.111153302027418</v>
      </c>
      <c r="J27" s="15">
        <f t="shared" si="14"/>
        <v>-78.635653978520651</v>
      </c>
      <c r="K27" s="15">
        <f t="shared" si="14"/>
        <v>-80.314943228946802</v>
      </c>
      <c r="L27" s="15">
        <f t="shared" si="14"/>
        <v>-82.351182851444349</v>
      </c>
      <c r="M27" s="15">
        <f t="shared" si="14"/>
        <v>-84.395534982398061</v>
      </c>
      <c r="N27" s="16">
        <f t="shared" si="8"/>
        <v>-923.26979943627589</v>
      </c>
    </row>
    <row r="28" spans="1:14" x14ac:dyDescent="0.25">
      <c r="A28" s="2" t="s">
        <v>38</v>
      </c>
      <c r="B28" s="14">
        <f>Assumptions!C14+B27</f>
        <v>1517.9092317383499</v>
      </c>
      <c r="C28" s="14">
        <f t="shared" ref="C28:M28" si="15">B28+C27</f>
        <v>1446.2521293890179</v>
      </c>
      <c r="D28" s="14">
        <f t="shared" si="15"/>
        <v>1355.9883953855717</v>
      </c>
      <c r="E28" s="14">
        <f t="shared" si="15"/>
        <v>1283.6910347623684</v>
      </c>
      <c r="F28" s="14">
        <f t="shared" si="15"/>
        <v>1196.5621885164921</v>
      </c>
      <c r="G28" s="14">
        <f t="shared" si="15"/>
        <v>1112.4476604109502</v>
      </c>
      <c r="H28" s="15">
        <f t="shared" si="15"/>
        <v>1051.538668907061</v>
      </c>
      <c r="I28" s="15">
        <f t="shared" si="15"/>
        <v>982.42751560503359</v>
      </c>
      <c r="J28" s="15">
        <f t="shared" si="15"/>
        <v>903.79186162651297</v>
      </c>
      <c r="K28" s="15">
        <f t="shared" si="15"/>
        <v>823.47691839756612</v>
      </c>
      <c r="L28" s="15">
        <f t="shared" si="15"/>
        <v>741.12573554612175</v>
      </c>
      <c r="M28" s="15">
        <f t="shared" si="15"/>
        <v>656.73020056372366</v>
      </c>
      <c r="N28" s="16">
        <f>M28</f>
        <v>656.73020056372366</v>
      </c>
    </row>
  </sheetData>
  <mergeCells count="1">
    <mergeCell ref="D1:H1"/>
  </mergeCells>
  <dataValidations count="1">
    <dataValidation type="list" sqref="B1" xr:uid="{00000000-0002-0000-0700-000000000000}">
      <formula1>"Base,Upside,Downside"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D7D31"/>
  </sheetPr>
  <dimension ref="A1:L13"/>
  <sheetViews>
    <sheetView showGridLines="0" tabSelected="1" workbookViewId="0">
      <pane ySplit="1" topLeftCell="A2" activePane="bottomLeft" state="frozen"/>
      <selection pane="bottomLeft" activeCell="H34" sqref="H34"/>
    </sheetView>
  </sheetViews>
  <sheetFormatPr defaultRowHeight="15" x14ac:dyDescent="0.25"/>
  <cols>
    <col min="1" max="1" width="28" customWidth="1"/>
    <col min="2" max="4" width="15" customWidth="1"/>
    <col min="5" max="5" width="14" customWidth="1"/>
    <col min="6" max="6" width="10" customWidth="1"/>
    <col min="7" max="9" width="15" customWidth="1"/>
    <col min="10" max="10" width="14" customWidth="1"/>
    <col min="11" max="11" width="10" customWidth="1"/>
    <col min="12" max="12" width="45" customWidth="1"/>
  </cols>
  <sheetData>
    <row r="1" spans="1:12" ht="27.95" customHeight="1" x14ac:dyDescent="0.25">
      <c r="A1" s="3" t="s">
        <v>147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156</v>
      </c>
      <c r="J1" s="3" t="s">
        <v>157</v>
      </c>
      <c r="K1" s="3" t="s">
        <v>158</v>
      </c>
      <c r="L1" s="3" t="s">
        <v>161</v>
      </c>
    </row>
    <row r="2" spans="1:12" x14ac:dyDescent="0.25">
      <c r="A2" t="s">
        <v>129</v>
      </c>
      <c r="B2">
        <f>'2026 Actual YTD'!H7</f>
        <v>1138.5742805350101</v>
      </c>
      <c r="C2">
        <f>'2026 Budget'!H7</f>
        <v>1195.1199999999999</v>
      </c>
      <c r="D2">
        <f t="shared" ref="D2:D13" si="0">B2-C2</f>
        <v>-56.545719464989816</v>
      </c>
      <c r="E2" s="7">
        <f t="shared" ref="E2:E13" si="1">IFERROR(D2/ABS(C2),0)</f>
        <v>-4.7313842513713955E-2</v>
      </c>
      <c r="F2" t="str">
        <f>IF(D2&gt;=0,"F","U")</f>
        <v>U</v>
      </c>
      <c r="G2">
        <f>SUM('2026 Actual YTD'!H2:H7)</f>
        <v>6813.804467572073</v>
      </c>
      <c r="H2">
        <f>SUM('2026 Budget'!H2:H7)</f>
        <v>7053.8700000000008</v>
      </c>
      <c r="I2">
        <f t="shared" ref="I2:I13" si="2">G2-H2</f>
        <v>-240.06553242792779</v>
      </c>
      <c r="J2" s="7">
        <f t="shared" ref="J2:J13" si="3">IFERROR(I2/ABS(H2),0)</f>
        <v>-3.4033166535239204E-2</v>
      </c>
      <c r="K2" t="str">
        <f>IF(I2&gt;=0,"F","U")</f>
        <v>U</v>
      </c>
      <c r="L2" t="s">
        <v>162</v>
      </c>
    </row>
    <row r="3" spans="1:12" x14ac:dyDescent="0.25">
      <c r="A3" t="s">
        <v>131</v>
      </c>
      <c r="B3">
        <f>'2026 Actual YTD'!K7</f>
        <v>285.28187419793301</v>
      </c>
      <c r="C3">
        <f>'2026 Budget'!K7</f>
        <v>283.2192</v>
      </c>
      <c r="D3">
        <f t="shared" si="0"/>
        <v>2.0626741979330063</v>
      </c>
      <c r="E3" s="7">
        <f t="shared" si="1"/>
        <v>7.2829603287242048E-3</v>
      </c>
      <c r="F3" t="str">
        <f>IF(D3&lt;=0,"F","U")</f>
        <v>U</v>
      </c>
      <c r="G3">
        <f>SUM('2026 Actual YTD'!K2:K7)</f>
        <v>1700.9797259234433</v>
      </c>
      <c r="H3">
        <f>SUM('2026 Budget'!K2:K7)</f>
        <v>1680.6192000000001</v>
      </c>
      <c r="I3">
        <f t="shared" si="2"/>
        <v>20.36052592344322</v>
      </c>
      <c r="J3" s="7">
        <f t="shared" si="3"/>
        <v>1.2114895464387898E-2</v>
      </c>
      <c r="K3" t="str">
        <f>IF(I3&lt;=0,"F","U")</f>
        <v>U</v>
      </c>
      <c r="L3" t="s">
        <v>163</v>
      </c>
    </row>
    <row r="4" spans="1:12" x14ac:dyDescent="0.25">
      <c r="A4" t="s">
        <v>132</v>
      </c>
      <c r="B4">
        <f>'2026 Actual YTD'!L7</f>
        <v>853.29240633707661</v>
      </c>
      <c r="C4">
        <f>'2026 Budget'!L7</f>
        <v>911.90079999999989</v>
      </c>
      <c r="D4">
        <f t="shared" si="0"/>
        <v>-58.608393662923277</v>
      </c>
      <c r="E4" s="7">
        <f t="shared" si="1"/>
        <v>-6.4270580377737668E-2</v>
      </c>
      <c r="F4" t="str">
        <f>IF(D4&gt;=0,"F","U")</f>
        <v>U</v>
      </c>
      <c r="G4">
        <f>SUM('2026 Actual YTD'!L2:L7)</f>
        <v>5112.8247416486292</v>
      </c>
      <c r="H4">
        <f>SUM('2026 Budget'!L2:L7)</f>
        <v>5373.2507999999998</v>
      </c>
      <c r="I4">
        <f t="shared" si="2"/>
        <v>-260.42605835137056</v>
      </c>
      <c r="J4" s="7">
        <f t="shared" si="3"/>
        <v>-4.8467132476185656E-2</v>
      </c>
      <c r="K4" t="str">
        <f>IF(I4&gt;=0,"F","U")</f>
        <v>U</v>
      </c>
      <c r="L4" t="s">
        <v>164</v>
      </c>
    </row>
    <row r="5" spans="1:12" x14ac:dyDescent="0.25">
      <c r="A5" t="s">
        <v>136</v>
      </c>
      <c r="B5">
        <f>'2026 Actual YTD'!P7</f>
        <v>362.09422374277818</v>
      </c>
      <c r="C5">
        <f>'2026 Budget'!P7</f>
        <v>359.6</v>
      </c>
      <c r="D5">
        <f t="shared" si="0"/>
        <v>2.4942237427781606</v>
      </c>
      <c r="E5" s="7">
        <f t="shared" si="1"/>
        <v>6.936106070017131E-3</v>
      </c>
      <c r="F5" t="str">
        <f>IF(D5&lt;=0,"F","U")</f>
        <v>U</v>
      </c>
      <c r="G5">
        <f>SUM('2026 Actual YTD'!P2:P7)</f>
        <v>2110.9833831267638</v>
      </c>
      <c r="H5">
        <f>SUM('2026 Budget'!P2:P7)</f>
        <v>2130.1499999999996</v>
      </c>
      <c r="I5">
        <f t="shared" si="2"/>
        <v>-19.166616873235853</v>
      </c>
      <c r="J5" s="7">
        <f t="shared" si="3"/>
        <v>-8.9977780312352918E-3</v>
      </c>
      <c r="K5" t="str">
        <f>IF(I5&lt;=0,"F","U")</f>
        <v>F</v>
      </c>
      <c r="L5" t="s">
        <v>165</v>
      </c>
    </row>
    <row r="6" spans="1:12" x14ac:dyDescent="0.25">
      <c r="A6" t="s">
        <v>137</v>
      </c>
      <c r="B6">
        <f>'2026 Actual YTD'!Q7</f>
        <v>335.21282088505512</v>
      </c>
      <c r="C6">
        <f>'2026 Budget'!Q7</f>
        <v>338.65</v>
      </c>
      <c r="D6">
        <f t="shared" si="0"/>
        <v>-3.4371791149448541</v>
      </c>
      <c r="E6" s="7">
        <f t="shared" si="1"/>
        <v>-1.0149650420625584E-2</v>
      </c>
      <c r="F6" t="str">
        <f>IF(D6&lt;=0,"F","U")</f>
        <v>F</v>
      </c>
      <c r="G6">
        <f>SUM('2026 Actual YTD'!Q2:Q7)</f>
        <v>1997.4037650779562</v>
      </c>
      <c r="H6">
        <f>SUM('2026 Budget'!Q2:Q7)</f>
        <v>2013.6</v>
      </c>
      <c r="I6">
        <f t="shared" si="2"/>
        <v>-16.196234922043686</v>
      </c>
      <c r="J6" s="7">
        <f t="shared" si="3"/>
        <v>-8.0434221901289661E-3</v>
      </c>
      <c r="K6" t="str">
        <f>IF(I6&lt;=0,"F","U")</f>
        <v>F</v>
      </c>
      <c r="L6" t="s">
        <v>166</v>
      </c>
    </row>
    <row r="7" spans="1:12" x14ac:dyDescent="0.25">
      <c r="A7" t="s">
        <v>138</v>
      </c>
      <c r="B7">
        <f>'2026 Actual YTD'!R7</f>
        <v>178.0113208893361</v>
      </c>
      <c r="C7">
        <f>'2026 Budget'!R7</f>
        <v>177.8</v>
      </c>
      <c r="D7">
        <f t="shared" si="0"/>
        <v>0.21132088933609339</v>
      </c>
      <c r="E7" s="7">
        <f t="shared" si="1"/>
        <v>1.1885314360860146E-3</v>
      </c>
      <c r="F7" t="str">
        <f>IF(D7&lt;=0,"F","U")</f>
        <v>U</v>
      </c>
      <c r="G7">
        <f>SUM('2026 Actual YTD'!R2:R7)</f>
        <v>1082.1412885979273</v>
      </c>
      <c r="H7">
        <f>SUM('2026 Budget'!R2:R7)</f>
        <v>1066.8</v>
      </c>
      <c r="I7">
        <f t="shared" si="2"/>
        <v>15.34128859792736</v>
      </c>
      <c r="J7" s="7">
        <f t="shared" si="3"/>
        <v>1.4380660477997151E-2</v>
      </c>
      <c r="K7" t="str">
        <f>IF(I7&lt;=0,"F","U")</f>
        <v>U</v>
      </c>
      <c r="L7" t="s">
        <v>167</v>
      </c>
    </row>
    <row r="8" spans="1:12" x14ac:dyDescent="0.25">
      <c r="A8" t="s">
        <v>139</v>
      </c>
      <c r="B8">
        <f>'2026 Actual YTD'!S7</f>
        <v>-22.025959180092801</v>
      </c>
      <c r="C8">
        <f>'2026 Budget'!S7</f>
        <v>35.850799999999879</v>
      </c>
      <c r="D8">
        <f t="shared" si="0"/>
        <v>-57.876759180092677</v>
      </c>
      <c r="E8" s="7">
        <f t="shared" si="1"/>
        <v>-1.6143784568292163</v>
      </c>
      <c r="F8" t="str">
        <f>IF(D8&gt;=0,"F","U")</f>
        <v>U</v>
      </c>
      <c r="G8">
        <f>SUM('2026 Actual YTD'!S2:S7)</f>
        <v>-77.703695154018277</v>
      </c>
      <c r="H8">
        <f>SUM('2026 Budget'!S2:S7)</f>
        <v>162.7007999999995</v>
      </c>
      <c r="I8">
        <f t="shared" si="2"/>
        <v>-240.40449515401778</v>
      </c>
      <c r="J8" s="7">
        <f t="shared" si="3"/>
        <v>-1.477586435678365</v>
      </c>
      <c r="K8" t="str">
        <f>IF(I8&gt;=0,"F","U")</f>
        <v>U</v>
      </c>
      <c r="L8" t="s">
        <v>168</v>
      </c>
    </row>
    <row r="9" spans="1:12" x14ac:dyDescent="0.25">
      <c r="A9" t="s">
        <v>143</v>
      </c>
      <c r="B9">
        <f>'2026 Actual YTD'!X7</f>
        <v>-81.025959180092798</v>
      </c>
      <c r="C9">
        <f>'2026 Budget'!X7</f>
        <v>-24.149200000000121</v>
      </c>
      <c r="D9">
        <f t="shared" si="0"/>
        <v>-56.876759180092677</v>
      </c>
      <c r="E9" s="7">
        <f t="shared" si="1"/>
        <v>-2.3552233274846532</v>
      </c>
      <c r="F9" t="str">
        <f>IF(D9&gt;=0,"F","U")</f>
        <v>U</v>
      </c>
      <c r="G9">
        <f>SUM('2026 Actual YTD'!X2:X7)</f>
        <v>-431.70369515401825</v>
      </c>
      <c r="H9">
        <f>SUM('2026 Budget'!X2:X7)</f>
        <v>-197.2992000000005</v>
      </c>
      <c r="I9">
        <f t="shared" si="2"/>
        <v>-234.40449515401775</v>
      </c>
      <c r="J9" s="7">
        <f t="shared" si="3"/>
        <v>-1.1880661206635261</v>
      </c>
      <c r="K9" t="str">
        <f>IF(I9&gt;=0,"F","U")</f>
        <v>U</v>
      </c>
      <c r="L9" t="s">
        <v>169</v>
      </c>
    </row>
    <row r="10" spans="1:12" x14ac:dyDescent="0.25">
      <c r="A10" t="s">
        <v>37</v>
      </c>
      <c r="B10">
        <f>'2026 Actual YTD'!F7</f>
        <v>1366</v>
      </c>
      <c r="C10">
        <f>'2026 Budget'!F7</f>
        <v>1421</v>
      </c>
      <c r="D10">
        <f t="shared" si="0"/>
        <v>-55</v>
      </c>
      <c r="E10" s="7">
        <f t="shared" si="1"/>
        <v>-3.8705137227304717E-2</v>
      </c>
      <c r="F10" t="str">
        <f>IF(D10&gt;=0,"F","U")</f>
        <v>U</v>
      </c>
      <c r="G10">
        <f>'2026 Actual YTD'!F7</f>
        <v>1366</v>
      </c>
      <c r="H10">
        <f>'2026 Budget'!F7</f>
        <v>1421</v>
      </c>
      <c r="I10">
        <f t="shared" si="2"/>
        <v>-55</v>
      </c>
      <c r="J10" s="7">
        <f t="shared" si="3"/>
        <v>-3.8705137227304717E-2</v>
      </c>
      <c r="K10" t="str">
        <f>IF(I10&gt;=0,"F","U")</f>
        <v>U</v>
      </c>
      <c r="L10" t="s">
        <v>170</v>
      </c>
    </row>
    <row r="11" spans="1:12" x14ac:dyDescent="0.25">
      <c r="A11" t="s">
        <v>125</v>
      </c>
      <c r="B11">
        <f>'2026 Actual YTD'!C7</f>
        <v>41</v>
      </c>
      <c r="C11">
        <f>'2026 Budget'!C7</f>
        <v>45</v>
      </c>
      <c r="D11">
        <f t="shared" si="0"/>
        <v>-4</v>
      </c>
      <c r="E11" s="7">
        <f t="shared" si="1"/>
        <v>-8.8888888888888892E-2</v>
      </c>
      <c r="F11" t="str">
        <f>IF(D11&gt;=0,"F","U")</f>
        <v>U</v>
      </c>
      <c r="G11">
        <f>SUM('2026 Actual YTD'!C2:C7)</f>
        <v>246</v>
      </c>
      <c r="H11">
        <f>SUM('2026 Budget'!C2:C7)</f>
        <v>261</v>
      </c>
      <c r="I11">
        <f t="shared" si="2"/>
        <v>-15</v>
      </c>
      <c r="J11" s="7">
        <f t="shared" si="3"/>
        <v>-5.7471264367816091E-2</v>
      </c>
      <c r="K11" t="str">
        <f>IF(I11&gt;=0,"F","U")</f>
        <v>U</v>
      </c>
      <c r="L11" t="s">
        <v>171</v>
      </c>
    </row>
    <row r="12" spans="1:12" x14ac:dyDescent="0.25">
      <c r="A12" t="s">
        <v>127</v>
      </c>
      <c r="B12" s="7">
        <f>'2026 Actual YTD'!E7</f>
        <v>3.07641441062034E-2</v>
      </c>
      <c r="C12" s="7">
        <f>'2026 Budget'!E7</f>
        <v>2.5000000000000001E-2</v>
      </c>
      <c r="D12" s="7">
        <f t="shared" si="0"/>
        <v>5.7641441062033991E-3</v>
      </c>
      <c r="E12" s="7">
        <f t="shared" si="1"/>
        <v>0.23056576424813596</v>
      </c>
      <c r="F12" t="str">
        <f>IF(D12&lt;=0,"F","U")</f>
        <v>U</v>
      </c>
      <c r="G12" s="7">
        <f>AVERAGE('2026 Actual YTD'!E2:E7)</f>
        <v>3.0315201153381082E-2</v>
      </c>
      <c r="H12" s="7">
        <f>AVERAGE('2026 Budget'!E2:E7)</f>
        <v>2.4999999999999998E-2</v>
      </c>
      <c r="I12" s="7">
        <f t="shared" si="2"/>
        <v>5.3152011533810842E-3</v>
      </c>
      <c r="J12" s="7">
        <f t="shared" si="3"/>
        <v>0.21260804613524339</v>
      </c>
      <c r="K12" t="str">
        <f>IF(I12&lt;=0,"F","U")</f>
        <v>U</v>
      </c>
      <c r="L12" t="s">
        <v>172</v>
      </c>
    </row>
    <row r="13" spans="1:12" x14ac:dyDescent="0.25">
      <c r="A13" t="s">
        <v>128</v>
      </c>
      <c r="B13">
        <f>'2026 Actual YTD'!G7</f>
        <v>0.81125084561654559</v>
      </c>
      <c r="C13">
        <f>'2026 Budget'!G7</f>
        <v>0.82</v>
      </c>
      <c r="D13">
        <f t="shared" si="0"/>
        <v>-8.7491543834543606E-3</v>
      </c>
      <c r="E13" s="7">
        <f t="shared" si="1"/>
        <v>-1.0669700467627269E-2</v>
      </c>
      <c r="F13" t="str">
        <f>IF(D13&gt;=0,"F","U")</f>
        <v>U</v>
      </c>
      <c r="G13">
        <f>AVERAGE('2026 Actual YTD'!G2:G7)</f>
        <v>0.81018535352900567</v>
      </c>
      <c r="H13">
        <f>AVERAGE('2026 Budget'!G2:G7)</f>
        <v>0.82</v>
      </c>
      <c r="I13">
        <f t="shared" si="2"/>
        <v>-9.8146464709942816E-3</v>
      </c>
      <c r="J13" s="7">
        <f t="shared" si="3"/>
        <v>-1.1969081062188148E-2</v>
      </c>
      <c r="K13" t="str">
        <f>IF(I13&gt;=0,"F","U")</f>
        <v>U</v>
      </c>
      <c r="L13" t="s">
        <v>173</v>
      </c>
    </row>
  </sheetData>
  <autoFilter ref="A1:L13" xr:uid="{00000000-0009-0000-0000-000008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START HERE</vt:lpstr>
      <vt:lpstr>Company Profile</vt:lpstr>
      <vt:lpstr>Assumptions</vt:lpstr>
      <vt:lpstr>Historical Actuals</vt:lpstr>
      <vt:lpstr>2026 Budget</vt:lpstr>
      <vt:lpstr>2026 Actual YTD</vt:lpstr>
      <vt:lpstr>Rolling Forecast</vt:lpstr>
      <vt:lpstr>Variance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Drzal</cp:lastModifiedBy>
  <dcterms:created xsi:type="dcterms:W3CDTF">2026-07-28T21:29:08Z</dcterms:created>
  <dcterms:modified xsi:type="dcterms:W3CDTF">2026-08-03T22:15:09Z</dcterms:modified>
</cp:coreProperties>
</file>